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NT Sajtó\Desktop\Boti\import\"/>
    </mc:Choice>
  </mc:AlternateContent>
  <bookViews>
    <workbookView xWindow="0" yWindow="0" windowWidth="28800" windowHeight="12435"/>
  </bookViews>
  <sheets>
    <sheet name="import 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W55" i="1"/>
  <c r="X55" i="1"/>
  <c r="Y55" i="1"/>
  <c r="F55" i="1"/>
  <c r="G55" i="1"/>
  <c r="H55" i="1"/>
  <c r="I55" i="1"/>
  <c r="J55" i="1"/>
  <c r="K55" i="1"/>
  <c r="L55" i="1"/>
  <c r="M55" i="1"/>
  <c r="E55" i="1"/>
  <c r="L46" i="1"/>
  <c r="L5" i="1"/>
  <c r="S15" i="1"/>
  <c r="S17" i="1"/>
  <c r="S20" i="1"/>
  <c r="S22" i="1"/>
  <c r="P39" i="1"/>
  <c r="Y14" i="1"/>
  <c r="Y15" i="1"/>
  <c r="Y16" i="1"/>
  <c r="Y17" i="1"/>
  <c r="Y18" i="1"/>
  <c r="Y19" i="1"/>
  <c r="Y20" i="1"/>
  <c r="Y22" i="1"/>
  <c r="Y28" i="1"/>
  <c r="Y33" i="1"/>
  <c r="Y34" i="1"/>
  <c r="Y35" i="1"/>
  <c r="Y37" i="1"/>
  <c r="Y38" i="1"/>
  <c r="Y41" i="1"/>
  <c r="Y44" i="1"/>
  <c r="Y47" i="1"/>
  <c r="Y49" i="1"/>
  <c r="Y50" i="1"/>
  <c r="Y51" i="1"/>
  <c r="Y52" i="1"/>
  <c r="Y53" i="1"/>
  <c r="Y56" i="1"/>
  <c r="Y57" i="1"/>
  <c r="Y7" i="1"/>
  <c r="Y8" i="1"/>
  <c r="Y9" i="1"/>
  <c r="Y10" i="1"/>
  <c r="Y11" i="1"/>
  <c r="Y12" i="1"/>
  <c r="Y13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2" i="1"/>
  <c r="X23" i="1"/>
  <c r="X24" i="1"/>
  <c r="X26" i="1"/>
  <c r="Y26" i="1" s="1"/>
  <c r="X28" i="1"/>
  <c r="X29" i="1"/>
  <c r="X33" i="1"/>
  <c r="X34" i="1"/>
  <c r="X35" i="1"/>
  <c r="X37" i="1"/>
  <c r="X38" i="1"/>
  <c r="X39" i="1"/>
  <c r="X40" i="1"/>
  <c r="X41" i="1"/>
  <c r="X42" i="1"/>
  <c r="Y42" i="1" s="1"/>
  <c r="X44" i="1"/>
  <c r="X45" i="1"/>
  <c r="Y45" i="1" s="1"/>
  <c r="X46" i="1"/>
  <c r="Y46" i="1" s="1"/>
  <c r="X47" i="1"/>
  <c r="X49" i="1"/>
  <c r="X50" i="1"/>
  <c r="X51" i="1"/>
  <c r="X52" i="1"/>
  <c r="X53" i="1"/>
  <c r="X54" i="1"/>
  <c r="X56" i="1"/>
  <c r="X57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2" i="1"/>
  <c r="W23" i="1"/>
  <c r="W24" i="1"/>
  <c r="W26" i="1"/>
  <c r="W28" i="1"/>
  <c r="W29" i="1"/>
  <c r="W33" i="1"/>
  <c r="W34" i="1"/>
  <c r="W35" i="1"/>
  <c r="W37" i="1"/>
  <c r="W38" i="1"/>
  <c r="W39" i="1"/>
  <c r="W40" i="1"/>
  <c r="W41" i="1"/>
  <c r="W42" i="1"/>
  <c r="W44" i="1"/>
  <c r="W45" i="1"/>
  <c r="W46" i="1"/>
  <c r="W47" i="1"/>
  <c r="W49" i="1"/>
  <c r="W50" i="1"/>
  <c r="W51" i="1"/>
  <c r="W52" i="1"/>
  <c r="W53" i="1"/>
  <c r="W54" i="1"/>
  <c r="W56" i="1"/>
  <c r="W57" i="1"/>
  <c r="Y6" i="1"/>
  <c r="X6" i="1"/>
  <c r="W6" i="1"/>
  <c r="V6" i="1"/>
  <c r="V9" i="1"/>
  <c r="V10" i="1"/>
  <c r="V14" i="1"/>
  <c r="V15" i="1"/>
  <c r="V17" i="1"/>
  <c r="V20" i="1"/>
  <c r="V22" i="1"/>
  <c r="V29" i="1"/>
  <c r="V38" i="1"/>
  <c r="V42" i="1"/>
  <c r="V46" i="1"/>
  <c r="V52" i="1"/>
  <c r="V54" i="1"/>
  <c r="S5" i="1"/>
  <c r="S9" i="1"/>
  <c r="S10" i="1"/>
  <c r="S14" i="1"/>
  <c r="S38" i="1"/>
  <c r="S42" i="1"/>
  <c r="S46" i="1"/>
  <c r="S52" i="1"/>
  <c r="S54" i="1"/>
  <c r="S6" i="1"/>
  <c r="P9" i="1"/>
  <c r="P10" i="1"/>
  <c r="P15" i="1"/>
  <c r="P17" i="1"/>
  <c r="P20" i="1"/>
  <c r="P22" i="1"/>
  <c r="P28" i="1"/>
  <c r="P42" i="1"/>
  <c r="O5" i="1"/>
  <c r="U5" i="1" s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2" i="1"/>
  <c r="M28" i="1"/>
  <c r="M33" i="1"/>
  <c r="M34" i="1"/>
  <c r="M35" i="1"/>
  <c r="M37" i="1"/>
  <c r="M38" i="1"/>
  <c r="M41" i="1"/>
  <c r="M44" i="1"/>
  <c r="M46" i="1"/>
  <c r="M47" i="1"/>
  <c r="M49" i="1"/>
  <c r="M50" i="1"/>
  <c r="M51" i="1"/>
  <c r="M52" i="1"/>
  <c r="M53" i="1"/>
  <c r="M56" i="1"/>
  <c r="M57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8" i="1"/>
  <c r="L33" i="1"/>
  <c r="L34" i="1"/>
  <c r="L35" i="1"/>
  <c r="L36" i="1"/>
  <c r="L37" i="1"/>
  <c r="L38" i="1"/>
  <c r="L41" i="1"/>
  <c r="L44" i="1"/>
  <c r="L47" i="1"/>
  <c r="L49" i="1"/>
  <c r="L50" i="1"/>
  <c r="L51" i="1"/>
  <c r="L52" i="1"/>
  <c r="L53" i="1"/>
  <c r="L56" i="1"/>
  <c r="L57" i="1"/>
  <c r="K28" i="1"/>
  <c r="K33" i="1"/>
  <c r="K34" i="1"/>
  <c r="K35" i="1"/>
  <c r="K37" i="1"/>
  <c r="K38" i="1"/>
  <c r="K41" i="1"/>
  <c r="K44" i="1"/>
  <c r="K46" i="1"/>
  <c r="K47" i="1"/>
  <c r="K49" i="1"/>
  <c r="K50" i="1"/>
  <c r="K51" i="1"/>
  <c r="K52" i="1"/>
  <c r="K53" i="1"/>
  <c r="K56" i="1"/>
  <c r="K57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6" i="1"/>
  <c r="K5" i="1"/>
  <c r="J51" i="1"/>
  <c r="J46" i="1"/>
  <c r="D26" i="1"/>
  <c r="D23" i="1"/>
  <c r="D14" i="1"/>
  <c r="G44" i="1"/>
  <c r="G34" i="1"/>
  <c r="P5" i="1" l="1"/>
  <c r="X5" i="1"/>
  <c r="T5" i="1"/>
  <c r="Y24" i="1"/>
  <c r="Y54" i="1"/>
  <c r="Y29" i="1"/>
  <c r="M5" i="1"/>
  <c r="J5" i="1"/>
  <c r="G5" i="1"/>
  <c r="Q5" i="1"/>
  <c r="R5" i="1"/>
  <c r="T42" i="1"/>
  <c r="U10" i="1"/>
  <c r="U14" i="1"/>
  <c r="U15" i="1"/>
  <c r="U17" i="1"/>
  <c r="U20" i="1"/>
  <c r="U22" i="1"/>
  <c r="U9" i="1"/>
  <c r="T15" i="1"/>
  <c r="T17" i="1"/>
  <c r="T20" i="1"/>
  <c r="T22" i="1"/>
  <c r="T14" i="1"/>
  <c r="T10" i="1"/>
  <c r="T9" i="1"/>
  <c r="F5" i="1"/>
  <c r="H5" i="1"/>
  <c r="I5" i="1"/>
  <c r="E5" i="1"/>
  <c r="G6" i="1"/>
  <c r="J57" i="1"/>
  <c r="J56" i="1"/>
  <c r="J52" i="1"/>
  <c r="J50" i="1"/>
  <c r="G57" i="1"/>
  <c r="G56" i="1"/>
  <c r="G53" i="1"/>
  <c r="G52" i="1"/>
  <c r="G50" i="1"/>
  <c r="G49" i="1"/>
  <c r="G46" i="1"/>
  <c r="G38" i="1"/>
  <c r="G37" i="1"/>
  <c r="G33" i="1"/>
  <c r="G28" i="1"/>
  <c r="V5" i="1" l="1"/>
  <c r="W5" i="1"/>
  <c r="Y5" i="1" s="1"/>
  <c r="J49" i="1"/>
  <c r="J47" i="1"/>
  <c r="J41" i="1"/>
  <c r="J38" i="1"/>
  <c r="J37" i="1"/>
  <c r="J35" i="1"/>
  <c r="J34" i="1"/>
  <c r="J33" i="1"/>
  <c r="J28" i="1"/>
  <c r="J22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20" i="1"/>
  <c r="G19" i="1"/>
  <c r="G18" i="1"/>
  <c r="G17" i="1"/>
  <c r="G16" i="1"/>
  <c r="G9" i="1"/>
  <c r="G10" i="1"/>
  <c r="G11" i="1"/>
  <c r="G12" i="1"/>
  <c r="G13" i="1"/>
  <c r="G14" i="1"/>
  <c r="G15" i="1"/>
  <c r="G8" i="1"/>
  <c r="D46" i="1"/>
  <c r="D24" i="1"/>
  <c r="C24" i="1"/>
  <c r="B24" i="1"/>
  <c r="D22" i="1"/>
  <c r="D20" i="1"/>
  <c r="D18" i="1"/>
  <c r="D17" i="1"/>
  <c r="D16" i="1"/>
  <c r="D15" i="1"/>
  <c r="D10" i="1"/>
  <c r="D6" i="1"/>
  <c r="C5" i="1"/>
  <c r="D5" i="1" s="1"/>
</calcChain>
</file>

<file path=xl/sharedStrings.xml><?xml version="1.0" encoding="utf-8"?>
<sst xmlns="http://schemas.openxmlformats.org/spreadsheetml/2006/main" count="92" uniqueCount="69">
  <si>
    <t>Megnevezés</t>
  </si>
  <si>
    <t>Típus</t>
  </si>
  <si>
    <t>Mértékegység</t>
  </si>
  <si>
    <t xml:space="preserve">összesen </t>
  </si>
  <si>
    <t>EU-28</t>
  </si>
  <si>
    <t>Ausztria</t>
  </si>
  <si>
    <t>Belgium</t>
  </si>
  <si>
    <t>Bulgária</t>
  </si>
  <si>
    <t>Csehország</t>
  </si>
  <si>
    <t>Franciaország</t>
  </si>
  <si>
    <t>Görögország</t>
  </si>
  <si>
    <t>Hollandia</t>
  </si>
  <si>
    <t>Nagy-Britannia</t>
  </si>
  <si>
    <t>Németország</t>
  </si>
  <si>
    <t>Olaszország</t>
  </si>
  <si>
    <t>Portugália</t>
  </si>
  <si>
    <t>Románia</t>
  </si>
  <si>
    <t>Spanyolország</t>
  </si>
  <si>
    <t>Svédország</t>
  </si>
  <si>
    <t>Szlovákia</t>
  </si>
  <si>
    <t>Szlovénia</t>
  </si>
  <si>
    <t>Volt SZU országai</t>
  </si>
  <si>
    <t>Grúzia</t>
  </si>
  <si>
    <t>Ukrajna</t>
  </si>
  <si>
    <t>Más EU országok</t>
  </si>
  <si>
    <t>Macedónia</t>
  </si>
  <si>
    <t>Montenegró</t>
  </si>
  <si>
    <t>Svájc</t>
  </si>
  <si>
    <t>Törökország</t>
  </si>
  <si>
    <t>Ázsia</t>
  </si>
  <si>
    <t>Izrael</t>
  </si>
  <si>
    <t>Afrika összesen</t>
  </si>
  <si>
    <t>Dél-Afrika</t>
  </si>
  <si>
    <t>Észak és Közép-Amerika</t>
  </si>
  <si>
    <t>Egyesült Államok</t>
  </si>
  <si>
    <t>Kanada</t>
  </si>
  <si>
    <t>Dél-Amerika</t>
  </si>
  <si>
    <t>Argentína</t>
  </si>
  <si>
    <t>Brazília</t>
  </si>
  <si>
    <t>Chile</t>
  </si>
  <si>
    <t>Uruguay</t>
  </si>
  <si>
    <t>Óceánia</t>
  </si>
  <si>
    <t>Ausztrália</t>
  </si>
  <si>
    <t>Új-Zéland</t>
  </si>
  <si>
    <t>mennyiség hl</t>
  </si>
  <si>
    <t>érték euró</t>
  </si>
  <si>
    <t>Oroszország</t>
  </si>
  <si>
    <t>Bosznia- Hercegovina</t>
  </si>
  <si>
    <t>Kína</t>
  </si>
  <si>
    <t>Libanon</t>
  </si>
  <si>
    <t>Peru</t>
  </si>
  <si>
    <t>fehér</t>
  </si>
  <si>
    <t>vörös</t>
  </si>
  <si>
    <t>összes</t>
  </si>
  <si>
    <t>átlagár euró/l</t>
  </si>
  <si>
    <t>menniség hl</t>
  </si>
  <si>
    <t>adatok: KSH</t>
  </si>
  <si>
    <r>
      <t xml:space="preserve">pezsgő - </t>
    </r>
    <r>
      <rPr>
        <b/>
        <sz val="14"/>
        <color theme="1"/>
        <rFont val="Calibri"/>
        <family val="2"/>
        <charset val="238"/>
        <scheme val="minor"/>
      </rPr>
      <t>220410</t>
    </r>
  </si>
  <si>
    <r>
      <t>palackos-</t>
    </r>
    <r>
      <rPr>
        <b/>
        <sz val="14"/>
        <color theme="1"/>
        <rFont val="Calibri"/>
        <family val="2"/>
        <charset val="238"/>
        <scheme val="minor"/>
      </rPr>
      <t>220421</t>
    </r>
  </si>
  <si>
    <r>
      <t>hordós-</t>
    </r>
    <r>
      <rPr>
        <b/>
        <sz val="14"/>
        <color theme="1"/>
        <rFont val="Calibri"/>
        <family val="2"/>
        <charset val="238"/>
        <scheme val="minor"/>
      </rPr>
      <t>220429</t>
    </r>
  </si>
  <si>
    <r>
      <t xml:space="preserve">összes </t>
    </r>
    <r>
      <rPr>
        <b/>
        <sz val="14"/>
        <color theme="1"/>
        <rFont val="Calibri"/>
        <family val="2"/>
        <charset val="238"/>
        <scheme val="minor"/>
      </rPr>
      <t>220410+220421+220429</t>
    </r>
  </si>
  <si>
    <t>Fehéroroszország</t>
  </si>
  <si>
    <t>Azerbajdzsán</t>
  </si>
  <si>
    <t>Horvátország</t>
  </si>
  <si>
    <t>Luxemburg</t>
  </si>
  <si>
    <t>Szerbia</t>
  </si>
  <si>
    <t>Mexikó</t>
  </si>
  <si>
    <t>Hongkong</t>
  </si>
  <si>
    <t>Marokkó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</si>
</sst>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rgb="FF3C3C3C"/>
      <name val="Tahoma"/>
      <family val="2"/>
      <charset val="238"/>
    </font>
    <font>
      <sz val="11"/>
      <color rgb="FF3C3C3C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auto="1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218">
    <xf numFmtId="0" fontId="0" fillId="0" borderId="0" xfId="0"/>
    <xf numFmtId="3" fontId="0" fillId="0" borderId="4" xfId="0" applyNumberFormat="1" applyBorder="1"/>
    <xf numFmtId="0" fontId="0" fillId="0" borderId="5" xfId="0" applyBorder="1"/>
    <xf numFmtId="3" fontId="0" fillId="0" borderId="4" xfId="0" applyNumberFormat="1" applyFill="1" applyBorder="1"/>
    <xf numFmtId="3" fontId="0" fillId="0" borderId="7" xfId="0" applyNumberFormat="1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3" fontId="0" fillId="0" borderId="10" xfId="0" applyNumberFormat="1" applyBorder="1"/>
    <xf numFmtId="0" fontId="0" fillId="0" borderId="3" xfId="0" applyBorder="1"/>
    <xf numFmtId="0" fontId="0" fillId="0" borderId="4" xfId="0" applyBorder="1"/>
    <xf numFmtId="0" fontId="0" fillId="0" borderId="18" xfId="0" applyBorder="1"/>
    <xf numFmtId="3" fontId="0" fillId="0" borderId="21" xfId="0" applyNumberFormat="1" applyBorder="1"/>
    <xf numFmtId="0" fontId="0" fillId="0" borderId="24" xfId="0" applyBorder="1"/>
    <xf numFmtId="0" fontId="0" fillId="0" borderId="23" xfId="0" applyBorder="1"/>
    <xf numFmtId="3" fontId="0" fillId="0" borderId="20" xfId="0" applyNumberFormat="1" applyBorder="1"/>
    <xf numFmtId="0" fontId="0" fillId="0" borderId="26" xfId="0" applyBorder="1"/>
    <xf numFmtId="0" fontId="0" fillId="0" borderId="25" xfId="0" applyBorder="1"/>
    <xf numFmtId="0" fontId="3" fillId="0" borderId="13" xfId="1" applyFont="1" applyBorder="1"/>
    <xf numFmtId="0" fontId="2" fillId="0" borderId="1" xfId="1" applyBorder="1"/>
    <xf numFmtId="0" fontId="3" fillId="0" borderId="12" xfId="1" applyFont="1" applyBorder="1"/>
    <xf numFmtId="0" fontId="4" fillId="0" borderId="16" xfId="0" applyFont="1" applyBorder="1"/>
    <xf numFmtId="0" fontId="3" fillId="0" borderId="13" xfId="0" applyFont="1" applyBorder="1"/>
    <xf numFmtId="0" fontId="3" fillId="0" borderId="12" xfId="0" applyFont="1" applyBorder="1"/>
    <xf numFmtId="0" fontId="3" fillId="0" borderId="19" xfId="0" applyFont="1" applyFill="1" applyBorder="1"/>
    <xf numFmtId="0" fontId="4" fillId="0" borderId="14" xfId="0" applyFont="1" applyBorder="1"/>
    <xf numFmtId="0" fontId="2" fillId="0" borderId="14" xfId="0" applyFont="1" applyBorder="1"/>
    <xf numFmtId="0" fontId="2" fillId="0" borderId="12" xfId="0" applyFont="1" applyBorder="1"/>
    <xf numFmtId="0" fontId="3" fillId="0" borderId="19" xfId="0" applyFont="1" applyBorder="1"/>
    <xf numFmtId="0" fontId="0" fillId="0" borderId="37" xfId="0" applyBorder="1"/>
    <xf numFmtId="2" fontId="0" fillId="0" borderId="39" xfId="0" applyNumberFormat="1" applyBorder="1"/>
    <xf numFmtId="0" fontId="0" fillId="0" borderId="40" xfId="0" applyBorder="1"/>
    <xf numFmtId="2" fontId="0" fillId="0" borderId="41" xfId="0" applyNumberFormat="1" applyBorder="1"/>
    <xf numFmtId="0" fontId="0" fillId="0" borderId="42" xfId="0" applyBorder="1"/>
    <xf numFmtId="2" fontId="0" fillId="0" borderId="37" xfId="0" applyNumberFormat="1" applyBorder="1"/>
    <xf numFmtId="2" fontId="0" fillId="0" borderId="43" xfId="0" applyNumberFormat="1" applyBorder="1"/>
    <xf numFmtId="0" fontId="0" fillId="0" borderId="44" xfId="0" applyBorder="1"/>
    <xf numFmtId="2" fontId="0" fillId="0" borderId="45" xfId="0" applyNumberFormat="1" applyBorder="1"/>
    <xf numFmtId="0" fontId="0" fillId="0" borderId="46" xfId="0" applyBorder="1"/>
    <xf numFmtId="0" fontId="0" fillId="0" borderId="39" xfId="0" applyBorder="1"/>
    <xf numFmtId="0" fontId="0" fillId="0" borderId="41" xfId="0" applyBorder="1"/>
    <xf numFmtId="0" fontId="0" fillId="0" borderId="43" xfId="0" applyBorder="1"/>
    <xf numFmtId="0" fontId="0" fillId="0" borderId="45" xfId="0" applyBorder="1"/>
    <xf numFmtId="0" fontId="0" fillId="0" borderId="21" xfId="0" applyBorder="1"/>
    <xf numFmtId="0" fontId="0" fillId="0" borderId="20" xfId="0" applyBorder="1"/>
    <xf numFmtId="0" fontId="0" fillId="0" borderId="50" xfId="0" applyBorder="1"/>
    <xf numFmtId="0" fontId="0" fillId="0" borderId="49" xfId="0" applyBorder="1"/>
    <xf numFmtId="0" fontId="0" fillId="0" borderId="56" xfId="0" applyBorder="1"/>
    <xf numFmtId="0" fontId="0" fillId="0" borderId="3" xfId="0" applyBorder="1"/>
    <xf numFmtId="0" fontId="0" fillId="0" borderId="25" xfId="0" applyBorder="1"/>
    <xf numFmtId="0" fontId="0" fillId="0" borderId="4" xfId="0" applyBorder="1"/>
    <xf numFmtId="0" fontId="0" fillId="0" borderId="20" xfId="0" applyBorder="1"/>
    <xf numFmtId="0" fontId="0" fillId="0" borderId="0" xfId="0" applyBorder="1"/>
    <xf numFmtId="2" fontId="1" fillId="0" borderId="39" xfId="0" applyNumberFormat="1" applyFont="1" applyBorder="1"/>
    <xf numFmtId="2" fontId="1" fillId="0" borderId="43" xfId="0" applyNumberFormat="1" applyFont="1" applyBorder="1"/>
    <xf numFmtId="3" fontId="1" fillId="0" borderId="10" xfId="0" applyNumberFormat="1" applyFont="1" applyBorder="1"/>
    <xf numFmtId="0" fontId="1" fillId="0" borderId="40" xfId="0" applyFont="1" applyBorder="1"/>
    <xf numFmtId="0" fontId="1" fillId="0" borderId="43" xfId="0" applyFont="1" applyBorder="1"/>
    <xf numFmtId="0" fontId="1" fillId="0" borderId="21" xfId="0" applyFont="1" applyBorder="1"/>
    <xf numFmtId="0" fontId="1" fillId="0" borderId="1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23" xfId="0" applyFont="1" applyBorder="1"/>
    <xf numFmtId="0" fontId="1" fillId="0" borderId="48" xfId="0" applyFont="1" applyBorder="1"/>
    <xf numFmtId="3" fontId="1" fillId="0" borderId="4" xfId="0" applyNumberFormat="1" applyFont="1" applyBorder="1"/>
    <xf numFmtId="3" fontId="1" fillId="0" borderId="21" xfId="0" applyNumberFormat="1" applyFont="1" applyBorder="1"/>
    <xf numFmtId="0" fontId="1" fillId="0" borderId="44" xfId="0" applyFont="1" applyBorder="1"/>
    <xf numFmtId="0" fontId="1" fillId="0" borderId="24" xfId="0" applyFont="1" applyBorder="1"/>
    <xf numFmtId="0" fontId="0" fillId="0" borderId="63" xfId="0" applyBorder="1"/>
    <xf numFmtId="0" fontId="0" fillId="0" borderId="64" xfId="0" applyBorder="1"/>
    <xf numFmtId="0" fontId="2" fillId="0" borderId="1" xfId="0" applyFont="1" applyFill="1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48" xfId="0" applyBorder="1"/>
    <xf numFmtId="0" fontId="2" fillId="0" borderId="13" xfId="1" applyFont="1" applyBorder="1"/>
    <xf numFmtId="0" fontId="2" fillId="0" borderId="13" xfId="0" applyFont="1" applyBorder="1"/>
    <xf numFmtId="0" fontId="2" fillId="0" borderId="1" xfId="0" applyFont="1" applyBorder="1"/>
    <xf numFmtId="2" fontId="0" fillId="0" borderId="67" xfId="0" applyNumberFormat="1" applyBorder="1"/>
    <xf numFmtId="3" fontId="0" fillId="0" borderId="68" xfId="0" applyNumberFormat="1" applyBorder="1"/>
    <xf numFmtId="0" fontId="0" fillId="0" borderId="53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2" fontId="0" fillId="0" borderId="0" xfId="0" applyNumberFormat="1"/>
    <xf numFmtId="0" fontId="0" fillId="0" borderId="3" xfId="0" applyBorder="1"/>
    <xf numFmtId="0" fontId="0" fillId="0" borderId="25" xfId="0" applyBorder="1"/>
    <xf numFmtId="0" fontId="0" fillId="0" borderId="4" xfId="0" applyBorder="1"/>
    <xf numFmtId="0" fontId="0" fillId="0" borderId="20" xfId="0" applyBorder="1"/>
    <xf numFmtId="0" fontId="0" fillId="0" borderId="7" xfId="0" applyBorder="1"/>
    <xf numFmtId="0" fontId="0" fillId="0" borderId="30" xfId="0" applyBorder="1"/>
    <xf numFmtId="0" fontId="8" fillId="0" borderId="35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7" xfId="0" applyBorder="1"/>
    <xf numFmtId="0" fontId="0" fillId="0" borderId="30" xfId="0" applyBorder="1"/>
    <xf numFmtId="0" fontId="0" fillId="0" borderId="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" xfId="0" applyBorder="1"/>
    <xf numFmtId="0" fontId="0" fillId="0" borderId="25" xfId="0" applyBorder="1"/>
    <xf numFmtId="0" fontId="0" fillId="0" borderId="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43" xfId="0" applyFont="1" applyBorder="1"/>
    <xf numFmtId="2" fontId="0" fillId="0" borderId="13" xfId="0" applyNumberFormat="1" applyBorder="1"/>
    <xf numFmtId="0" fontId="1" fillId="0" borderId="72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1" fillId="0" borderId="74" xfId="0" applyFont="1" applyBorder="1"/>
    <xf numFmtId="0" fontId="0" fillId="0" borderId="72" xfId="0" applyBorder="1"/>
    <xf numFmtId="0" fontId="0" fillId="0" borderId="72" xfId="0" applyFont="1" applyBorder="1"/>
    <xf numFmtId="0" fontId="1" fillId="0" borderId="4" xfId="0" applyFont="1" applyBorder="1"/>
    <xf numFmtId="0" fontId="0" fillId="0" borderId="4" xfId="0" applyFont="1" applyBorder="1"/>
    <xf numFmtId="3" fontId="5" fillId="0" borderId="49" xfId="0" applyNumberFormat="1" applyFont="1" applyBorder="1"/>
    <xf numFmtId="3" fontId="0" fillId="0" borderId="49" xfId="0" applyNumberFormat="1" applyBorder="1"/>
    <xf numFmtId="3" fontId="7" fillId="0" borderId="49" xfId="0" applyNumberFormat="1" applyFont="1" applyBorder="1"/>
    <xf numFmtId="0" fontId="6" fillId="0" borderId="49" xfId="0" applyNumberFormat="1" applyFont="1" applyBorder="1"/>
    <xf numFmtId="3" fontId="0" fillId="0" borderId="50" xfId="0" applyNumberFormat="1" applyBorder="1"/>
    <xf numFmtId="3" fontId="1" fillId="0" borderId="55" xfId="0" applyNumberFormat="1" applyFont="1" applyBorder="1"/>
    <xf numFmtId="3" fontId="0" fillId="0" borderId="56" xfId="0" applyNumberFormat="1" applyBorder="1"/>
    <xf numFmtId="3" fontId="1" fillId="0" borderId="48" xfId="0" applyNumberFormat="1" applyFont="1" applyBorder="1"/>
    <xf numFmtId="3" fontId="0" fillId="0" borderId="48" xfId="0" applyNumberFormat="1" applyBorder="1"/>
    <xf numFmtId="3" fontId="0" fillId="0" borderId="71" xfId="0" applyNumberFormat="1" applyBorder="1"/>
    <xf numFmtId="0" fontId="3" fillId="0" borderId="14" xfId="1" applyFont="1" applyBorder="1"/>
    <xf numFmtId="2" fontId="0" fillId="0" borderId="14" xfId="0" applyNumberFormat="1" applyBorder="1"/>
    <xf numFmtId="0" fontId="0" fillId="0" borderId="10" xfId="0" applyFont="1" applyBorder="1"/>
    <xf numFmtId="3" fontId="5" fillId="0" borderId="48" xfId="0" applyNumberFormat="1" applyFont="1" applyBorder="1"/>
    <xf numFmtId="2" fontId="1" fillId="0" borderId="4" xfId="0" applyNumberFormat="1" applyFont="1" applyBorder="1"/>
    <xf numFmtId="2" fontId="1" fillId="0" borderId="10" xfId="0" applyNumberFormat="1" applyFont="1" applyBorder="1"/>
    <xf numFmtId="0" fontId="0" fillId="0" borderId="38" xfId="0" applyBorder="1" applyAlignment="1">
      <alignment horizontal="center"/>
    </xf>
    <xf numFmtId="2" fontId="0" fillId="0" borderId="19" xfId="0" applyNumberFormat="1" applyBorder="1"/>
    <xf numFmtId="0" fontId="0" fillId="0" borderId="20" xfId="0" applyFont="1" applyBorder="1"/>
    <xf numFmtId="0" fontId="1" fillId="0" borderId="7" xfId="0" applyFont="1" applyBorder="1"/>
    <xf numFmtId="0" fontId="1" fillId="0" borderId="20" xfId="0" applyFont="1" applyBorder="1"/>
    <xf numFmtId="0" fontId="0" fillId="0" borderId="77" xfId="0" applyBorder="1"/>
    <xf numFmtId="0" fontId="0" fillId="0" borderId="29" xfId="0" applyBorder="1"/>
    <xf numFmtId="0" fontId="0" fillId="0" borderId="54" xfId="0" applyBorder="1"/>
    <xf numFmtId="2" fontId="0" fillId="0" borderId="78" xfId="0" applyNumberFormat="1" applyBorder="1"/>
    <xf numFmtId="0" fontId="0" fillId="0" borderId="30" xfId="0" applyFont="1" applyBorder="1"/>
    <xf numFmtId="0" fontId="1" fillId="0" borderId="30" xfId="0" applyFont="1" applyBorder="1"/>
    <xf numFmtId="0" fontId="0" fillId="0" borderId="7" xfId="0" applyFont="1" applyBorder="1"/>
    <xf numFmtId="0" fontId="3" fillId="0" borderId="14" xfId="0" applyFont="1" applyBorder="1"/>
    <xf numFmtId="0" fontId="0" fillId="0" borderId="79" xfId="0" applyBorder="1"/>
    <xf numFmtId="0" fontId="0" fillId="0" borderId="80" xfId="0" applyBorder="1"/>
    <xf numFmtId="0" fontId="0" fillId="0" borderId="74" xfId="0" applyFont="1" applyBorder="1"/>
    <xf numFmtId="2" fontId="0" fillId="0" borderId="9" xfId="0" applyNumberFormat="1" applyBorder="1"/>
    <xf numFmtId="0" fontId="0" fillId="0" borderId="75" xfId="0" applyFont="1" applyBorder="1"/>
    <xf numFmtId="2" fontId="0" fillId="0" borderId="81" xfId="0" applyNumberFormat="1" applyBorder="1"/>
    <xf numFmtId="0" fontId="4" fillId="0" borderId="55" xfId="0" applyFont="1" applyBorder="1"/>
    <xf numFmtId="0" fontId="0" fillId="0" borderId="21" xfId="0" applyFont="1" applyBorder="1"/>
    <xf numFmtId="0" fontId="0" fillId="0" borderId="24" xfId="0" applyFont="1" applyBorder="1"/>
    <xf numFmtId="0" fontId="1" fillId="0" borderId="17" xfId="0" applyFont="1" applyBorder="1"/>
    <xf numFmtId="2" fontId="0" fillId="0" borderId="74" xfId="0" applyNumberFormat="1" applyFont="1" applyBorder="1"/>
    <xf numFmtId="2" fontId="0" fillId="0" borderId="73" xfId="0" applyNumberFormat="1" applyFont="1" applyBorder="1"/>
    <xf numFmtId="2" fontId="0" fillId="0" borderId="76" xfId="0" applyNumberFormat="1" applyFont="1" applyBorder="1"/>
    <xf numFmtId="3" fontId="0" fillId="0" borderId="4" xfId="0" applyNumberFormat="1" applyFont="1" applyBorder="1"/>
    <xf numFmtId="0" fontId="0" fillId="0" borderId="42" xfId="0" applyFont="1" applyBorder="1"/>
    <xf numFmtId="3" fontId="0" fillId="0" borderId="20" xfId="0" applyNumberFormat="1" applyFont="1" applyBorder="1"/>
    <xf numFmtId="0" fontId="0" fillId="0" borderId="46" xfId="0" applyFont="1" applyBorder="1"/>
    <xf numFmtId="3" fontId="0" fillId="0" borderId="10" xfId="0" applyNumberFormat="1" applyFont="1" applyBorder="1"/>
    <xf numFmtId="0" fontId="0" fillId="0" borderId="40" xfId="0" applyFont="1" applyBorder="1"/>
    <xf numFmtId="2" fontId="0" fillId="0" borderId="75" xfId="0" applyNumberFormat="1" applyFont="1" applyBorder="1"/>
    <xf numFmtId="3" fontId="0" fillId="0" borderId="7" xfId="0" applyNumberFormat="1" applyFont="1" applyBorder="1"/>
    <xf numFmtId="0" fontId="0" fillId="0" borderId="18" xfId="0" applyFont="1" applyBorder="1"/>
    <xf numFmtId="0" fontId="0" fillId="0" borderId="17" xfId="0" applyFont="1" applyBorder="1"/>
    <xf numFmtId="0" fontId="0" fillId="0" borderId="82" xfId="0" applyFont="1" applyBorder="1"/>
    <xf numFmtId="0" fontId="0" fillId="0" borderId="51" xfId="0" applyBorder="1"/>
    <xf numFmtId="0" fontId="0" fillId="0" borderId="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3">
    <cellStyle name="Ezres 2" xfId="2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8"/>
  <sheetViews>
    <sheetView tabSelected="1" zoomScale="90" zoomScaleNormal="90" workbookViewId="0">
      <selection activeCell="E3" sqref="E3:E4"/>
    </sheetView>
  </sheetViews>
  <sheetFormatPr defaultRowHeight="15" x14ac:dyDescent="0.25"/>
  <cols>
    <col min="1" max="1" width="24.28515625" customWidth="1"/>
    <col min="2" max="2" width="11.85546875" customWidth="1"/>
    <col min="3" max="3" width="11.42578125" customWidth="1"/>
    <col min="4" max="4" width="10.85546875" customWidth="1"/>
    <col min="5" max="5" width="11.42578125" customWidth="1"/>
    <col min="6" max="6" width="11.5703125" customWidth="1"/>
    <col min="7" max="7" width="12.140625" customWidth="1"/>
    <col min="8" max="8" width="14.7109375" customWidth="1"/>
    <col min="9" max="13" width="12.140625" customWidth="1"/>
    <col min="14" max="14" width="12.28515625" customWidth="1"/>
    <col min="15" max="15" width="13.42578125" customWidth="1"/>
    <col min="16" max="16" width="10.7109375" customWidth="1"/>
    <col min="17" max="17" width="11.140625" customWidth="1"/>
    <col min="18" max="18" width="10.7109375" customWidth="1"/>
    <col min="19" max="19" width="11.5703125" customWidth="1"/>
    <col min="20" max="20" width="10.85546875" customWidth="1"/>
    <col min="21" max="21" width="12.5703125" customWidth="1"/>
    <col min="22" max="22" width="11.85546875" customWidth="1"/>
    <col min="23" max="23" width="13.140625" customWidth="1"/>
    <col min="24" max="24" width="13" customWidth="1"/>
    <col min="25" max="25" width="11.140625" customWidth="1"/>
  </cols>
  <sheetData>
    <row r="1" spans="1:76" ht="20.25" thickTop="1" thickBot="1" x14ac:dyDescent="0.35">
      <c r="A1" s="68" t="s">
        <v>0</v>
      </c>
      <c r="B1" s="103" t="s">
        <v>57</v>
      </c>
      <c r="C1" s="104"/>
      <c r="D1" s="105"/>
      <c r="E1" s="113" t="s">
        <v>58</v>
      </c>
      <c r="F1" s="114"/>
      <c r="G1" s="114"/>
      <c r="H1" s="114"/>
      <c r="I1" s="114"/>
      <c r="J1" s="114"/>
      <c r="K1" s="114"/>
      <c r="L1" s="114"/>
      <c r="M1" s="115"/>
      <c r="N1" s="118" t="s">
        <v>59</v>
      </c>
      <c r="O1" s="119"/>
      <c r="P1" s="119"/>
      <c r="Q1" s="119"/>
      <c r="R1" s="119"/>
      <c r="S1" s="119"/>
      <c r="T1" s="119"/>
      <c r="U1" s="119"/>
      <c r="V1" s="119"/>
      <c r="W1" s="97" t="s">
        <v>60</v>
      </c>
      <c r="X1" s="98"/>
      <c r="Y1" s="99"/>
    </row>
    <row r="2" spans="1:76" ht="16.5" thickTop="1" thickBot="1" x14ac:dyDescent="0.3">
      <c r="A2" s="69" t="s">
        <v>1</v>
      </c>
      <c r="B2" s="106" t="s">
        <v>3</v>
      </c>
      <c r="C2" s="107"/>
      <c r="D2" s="108"/>
      <c r="E2" s="109" t="s">
        <v>51</v>
      </c>
      <c r="F2" s="110"/>
      <c r="G2" s="111"/>
      <c r="H2" s="112" t="s">
        <v>52</v>
      </c>
      <c r="I2" s="112"/>
      <c r="J2" s="112"/>
      <c r="K2" s="116" t="s">
        <v>53</v>
      </c>
      <c r="L2" s="116"/>
      <c r="M2" s="117"/>
      <c r="N2" s="109" t="s">
        <v>51</v>
      </c>
      <c r="O2" s="110"/>
      <c r="P2" s="110"/>
      <c r="Q2" s="121" t="s">
        <v>52</v>
      </c>
      <c r="R2" s="122"/>
      <c r="S2" s="122"/>
      <c r="T2" s="120" t="s">
        <v>53</v>
      </c>
      <c r="U2" s="120"/>
      <c r="V2" s="120"/>
      <c r="W2" s="100"/>
      <c r="X2" s="101"/>
      <c r="Y2" s="102"/>
    </row>
    <row r="3" spans="1:76" ht="15.75" customHeight="1" thickTop="1" x14ac:dyDescent="0.25">
      <c r="A3" s="127" t="s">
        <v>2</v>
      </c>
      <c r="B3" s="133" t="s">
        <v>44</v>
      </c>
      <c r="C3" s="131" t="s">
        <v>45</v>
      </c>
      <c r="D3" s="129" t="s">
        <v>54</v>
      </c>
      <c r="E3" s="216" t="s">
        <v>44</v>
      </c>
      <c r="F3" s="135" t="s">
        <v>45</v>
      </c>
      <c r="G3" s="123" t="s">
        <v>54</v>
      </c>
      <c r="H3" s="139" t="s">
        <v>44</v>
      </c>
      <c r="I3" s="214" t="s">
        <v>45</v>
      </c>
      <c r="J3" s="141" t="s">
        <v>54</v>
      </c>
      <c r="K3" s="137" t="s">
        <v>44</v>
      </c>
      <c r="L3" s="143" t="s">
        <v>45</v>
      </c>
      <c r="M3" s="129" t="s">
        <v>54</v>
      </c>
      <c r="N3" s="133" t="s">
        <v>44</v>
      </c>
      <c r="O3" s="143" t="s">
        <v>45</v>
      </c>
      <c r="P3" s="123" t="s">
        <v>54</v>
      </c>
      <c r="Q3" s="137" t="s">
        <v>44</v>
      </c>
      <c r="R3" s="131" t="s">
        <v>45</v>
      </c>
      <c r="S3" s="125" t="s">
        <v>54</v>
      </c>
      <c r="T3" s="137" t="s">
        <v>44</v>
      </c>
      <c r="U3" s="143" t="s">
        <v>45</v>
      </c>
      <c r="V3" s="129" t="s">
        <v>54</v>
      </c>
      <c r="W3" s="145" t="s">
        <v>55</v>
      </c>
      <c r="X3" s="146" t="s">
        <v>45</v>
      </c>
      <c r="Y3" s="147" t="s">
        <v>54</v>
      </c>
    </row>
    <row r="4" spans="1:76" ht="15.75" thickBot="1" x14ac:dyDescent="0.3">
      <c r="A4" s="128"/>
      <c r="B4" s="134"/>
      <c r="C4" s="132"/>
      <c r="D4" s="130"/>
      <c r="E4" s="217"/>
      <c r="F4" s="136"/>
      <c r="G4" s="124"/>
      <c r="H4" s="140"/>
      <c r="I4" s="215"/>
      <c r="J4" s="142"/>
      <c r="K4" s="138"/>
      <c r="L4" s="144"/>
      <c r="M4" s="130"/>
      <c r="N4" s="134"/>
      <c r="O4" s="144"/>
      <c r="P4" s="124"/>
      <c r="Q4" s="138"/>
      <c r="R4" s="132"/>
      <c r="S4" s="126"/>
      <c r="T4" s="138"/>
      <c r="U4" s="144"/>
      <c r="V4" s="130"/>
      <c r="W4" s="176"/>
      <c r="X4" s="144"/>
      <c r="Y4" s="126"/>
      <c r="Z4" s="213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</row>
    <row r="5" spans="1:76" s="93" customFormat="1" ht="15.75" thickTop="1" x14ac:dyDescent="0.25">
      <c r="A5" s="158" t="s">
        <v>4</v>
      </c>
      <c r="B5" s="174">
        <v>20304.909999999993</v>
      </c>
      <c r="C5" s="64">
        <f>SUM(C6:C23)</f>
        <v>4853237</v>
      </c>
      <c r="D5" s="158">
        <f>(C5/2030491)</f>
        <v>2.3901790256642359</v>
      </c>
      <c r="E5" s="158">
        <f>(E6+E8+E9+E10+E11+E12+E13+E14+E15+E16++E17+E18+E19+E20+E22)</f>
        <v>6725.3</v>
      </c>
      <c r="F5" s="158">
        <f t="shared" ref="F5:I5" si="0">(F6+F8+F9+F10+F11+F12+F13+F14+F15+F16++F17+F18+F19+F20+F22)</f>
        <v>1429906</v>
      </c>
      <c r="G5" s="158">
        <f>(F5/674530)</f>
        <v>2.1198553066579691</v>
      </c>
      <c r="H5" s="158">
        <f t="shared" si="0"/>
        <v>30698.94</v>
      </c>
      <c r="I5" s="158">
        <f t="shared" si="0"/>
        <v>6204357</v>
      </c>
      <c r="J5" s="158">
        <f>(I5/3069894)</f>
        <v>2.0210329737769448</v>
      </c>
      <c r="K5" s="174">
        <f>H5+E5</f>
        <v>37424.239999999998</v>
      </c>
      <c r="L5" s="61">
        <f>SUM(L6:L57)</f>
        <v>7988102</v>
      </c>
      <c r="M5" s="61">
        <f>L5/K5/100</f>
        <v>2.1344727374557242</v>
      </c>
      <c r="N5" s="61">
        <f>SUM(N6:N57)</f>
        <v>24395.360000000001</v>
      </c>
      <c r="O5" s="64">
        <f>SUM(O6:O57)</f>
        <v>901922</v>
      </c>
      <c r="P5" s="172">
        <f>O5/N5/100</f>
        <v>0.369710469531911</v>
      </c>
      <c r="Q5" s="158">
        <f t="shared" ref="Q5" si="1">(Q6+Q8+Q9+Q10+Q11+Q12+Q13+Q14+Q15+Q16++Q17+Q18+Q19+Q20+Q22)</f>
        <v>110492.83</v>
      </c>
      <c r="R5" s="158">
        <f t="shared" ref="R5" si="2">(R6+R8+R9+R10+R11+R12+R13+R14+R15+R16++R17+R18+R19+R20+R22)</f>
        <v>4215888</v>
      </c>
      <c r="S5" s="93">
        <f>R5/Q5/100</f>
        <v>0.38155308358017437</v>
      </c>
      <c r="T5" s="158">
        <f>Q5+N5</f>
        <v>134888.19</v>
      </c>
      <c r="U5" s="64">
        <f>R5+O5</f>
        <v>5117810</v>
      </c>
      <c r="V5" s="61">
        <f>U5/T5/100</f>
        <v>0.37941127388543061</v>
      </c>
      <c r="W5" s="175">
        <f>T5+K5+B5</f>
        <v>192617.34</v>
      </c>
      <c r="X5" s="55">
        <f>U5+L5+C5</f>
        <v>17959149</v>
      </c>
      <c r="Y5" s="63">
        <f>X5/W5/100</f>
        <v>0.93237446846685768</v>
      </c>
      <c r="Z5" s="213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</row>
    <row r="6" spans="1:76" x14ac:dyDescent="0.25">
      <c r="A6" s="170" t="s">
        <v>5</v>
      </c>
      <c r="B6" s="30">
        <v>92.31</v>
      </c>
      <c r="C6">
        <v>52081</v>
      </c>
      <c r="D6" s="31">
        <f>(C6/9231)</f>
        <v>5.6419672841512298</v>
      </c>
      <c r="E6" s="39">
        <v>55.23</v>
      </c>
      <c r="F6" s="76">
        <v>14076</v>
      </c>
      <c r="G6" s="77">
        <f>(F6/5523)</f>
        <v>2.5486148832156439</v>
      </c>
      <c r="H6" s="78">
        <v>22.82</v>
      </c>
      <c r="I6" s="76">
        <v>16997</v>
      </c>
      <c r="J6" s="77">
        <f>(I6/2282)</f>
        <v>7.4482909728308497</v>
      </c>
      <c r="K6" s="171">
        <f>H6+E6</f>
        <v>78.05</v>
      </c>
      <c r="L6" s="172">
        <f t="shared" ref="L6:L57" si="3">I6+F6</f>
        <v>31073</v>
      </c>
      <c r="M6" s="172">
        <f t="shared" ref="M6:M57" si="4">L6/K6/100</f>
        <v>3.9811659192825113</v>
      </c>
      <c r="N6" s="152"/>
      <c r="O6" s="173"/>
      <c r="P6" s="172"/>
      <c r="Q6" s="152">
        <v>0.21</v>
      </c>
      <c r="R6" s="76">
        <v>285</v>
      </c>
      <c r="S6" s="79">
        <f>R6/Q6/100</f>
        <v>13.571428571428571</v>
      </c>
      <c r="T6" s="78">
        <v>0.21</v>
      </c>
      <c r="U6" s="168">
        <v>285</v>
      </c>
      <c r="V6" s="172">
        <f t="shared" ref="V6:V57" si="5">U6/T6/100</f>
        <v>13.571428571428571</v>
      </c>
      <c r="W6" s="199">
        <f>T6+K6+B6</f>
        <v>170.57</v>
      </c>
      <c r="X6" s="8">
        <f>U6+L6+C6</f>
        <v>83439</v>
      </c>
      <c r="Y6" s="79">
        <f>X6/W6/100</f>
        <v>4.8917746379785427</v>
      </c>
      <c r="Z6" s="213"/>
    </row>
    <row r="7" spans="1:76" x14ac:dyDescent="0.25">
      <c r="A7" s="18" t="s">
        <v>6</v>
      </c>
      <c r="B7" s="32"/>
      <c r="C7" s="1"/>
      <c r="D7" s="33"/>
      <c r="E7" s="40"/>
      <c r="F7" s="10"/>
      <c r="G7" s="2"/>
      <c r="H7" s="9">
        <v>18.5</v>
      </c>
      <c r="I7" s="10">
        <v>8762</v>
      </c>
      <c r="J7" s="2">
        <f>(I7/1850)</f>
        <v>4.7362162162162162</v>
      </c>
      <c r="K7" s="149">
        <f t="shared" ref="K7:K57" si="6">H7+E7</f>
        <v>18.5</v>
      </c>
      <c r="L7" s="159">
        <f t="shared" si="3"/>
        <v>8762</v>
      </c>
      <c r="M7" s="159">
        <f t="shared" si="4"/>
        <v>4.7362162162162162</v>
      </c>
      <c r="N7" s="151"/>
      <c r="O7" s="161"/>
      <c r="P7" s="159"/>
      <c r="Q7" s="151"/>
      <c r="R7" s="10"/>
      <c r="S7" s="46"/>
      <c r="T7" s="9"/>
      <c r="U7" s="46"/>
      <c r="V7" s="159"/>
      <c r="W7" s="200">
        <f t="shared" ref="W7:W57" si="7">T7+K7+B7</f>
        <v>18.5</v>
      </c>
      <c r="X7" s="1">
        <f t="shared" ref="X7:X57" si="8">U7+L7+C7</f>
        <v>8762</v>
      </c>
      <c r="Y7" s="33">
        <f t="shared" ref="Y7:Y57" si="9">X7/W7/100</f>
        <v>4.7362162162162162</v>
      </c>
    </row>
    <row r="8" spans="1:76" x14ac:dyDescent="0.25">
      <c r="A8" s="18" t="s">
        <v>7</v>
      </c>
      <c r="B8" s="32"/>
      <c r="C8" s="1"/>
      <c r="D8" s="33"/>
      <c r="E8" s="40">
        <v>2.25</v>
      </c>
      <c r="F8" s="10">
        <v>1647</v>
      </c>
      <c r="G8" s="2">
        <f>(F8/2225)</f>
        <v>0.74022471910112364</v>
      </c>
      <c r="H8" s="9">
        <v>0.9</v>
      </c>
      <c r="I8" s="10">
        <v>866</v>
      </c>
      <c r="J8" s="2">
        <f>(I8/90)</f>
        <v>9.6222222222222218</v>
      </c>
      <c r="K8" s="149">
        <f t="shared" si="6"/>
        <v>3.15</v>
      </c>
      <c r="L8" s="159">
        <f t="shared" si="3"/>
        <v>2513</v>
      </c>
      <c r="M8" s="159">
        <f t="shared" si="4"/>
        <v>7.9777777777777779</v>
      </c>
      <c r="N8" s="151"/>
      <c r="O8" s="161"/>
      <c r="P8" s="159"/>
      <c r="Q8" s="151"/>
      <c r="R8" s="10"/>
      <c r="S8" s="46"/>
      <c r="T8" s="9"/>
      <c r="U8" s="46"/>
      <c r="V8" s="159"/>
      <c r="W8" s="200">
        <f t="shared" si="7"/>
        <v>3.15</v>
      </c>
      <c r="X8" s="1">
        <f t="shared" si="8"/>
        <v>2513</v>
      </c>
      <c r="Y8" s="33">
        <f t="shared" si="9"/>
        <v>7.9777777777777779</v>
      </c>
    </row>
    <row r="9" spans="1:76" x14ac:dyDescent="0.25">
      <c r="A9" s="80" t="s">
        <v>8</v>
      </c>
      <c r="B9" s="32"/>
      <c r="C9" s="1"/>
      <c r="D9" s="33"/>
      <c r="E9" s="40">
        <v>48.31</v>
      </c>
      <c r="F9" s="10">
        <v>8668</v>
      </c>
      <c r="G9" s="2">
        <f>(F9/4831)</f>
        <v>1.794245497826537</v>
      </c>
      <c r="H9" s="9">
        <v>609.19000000000005</v>
      </c>
      <c r="I9" s="10">
        <v>204186</v>
      </c>
      <c r="J9" s="2">
        <f>(I9/60919)</f>
        <v>3.3517621760042022</v>
      </c>
      <c r="K9" s="149">
        <f t="shared" si="6"/>
        <v>657.5</v>
      </c>
      <c r="L9" s="159">
        <f t="shared" si="3"/>
        <v>212854</v>
      </c>
      <c r="M9" s="159">
        <f t="shared" si="4"/>
        <v>3.2373231939163496</v>
      </c>
      <c r="N9" s="151">
        <v>28.8</v>
      </c>
      <c r="O9" s="162">
        <v>2033</v>
      </c>
      <c r="P9" s="159">
        <f t="shared" ref="P6:P57" si="10">O9/N9/100</f>
        <v>0.70590277777777777</v>
      </c>
      <c r="Q9" s="151">
        <v>105.6</v>
      </c>
      <c r="R9" s="10">
        <v>9260</v>
      </c>
      <c r="S9" s="46">
        <f t="shared" ref="S7:S54" si="11">R9/Q9/100</f>
        <v>0.87689393939393934</v>
      </c>
      <c r="T9" s="9">
        <f>(N9+Q9)</f>
        <v>134.4</v>
      </c>
      <c r="U9" s="161">
        <f>(O9+R9)</f>
        <v>11293</v>
      </c>
      <c r="V9" s="159">
        <f t="shared" si="5"/>
        <v>0.84025297619047623</v>
      </c>
      <c r="W9" s="200">
        <f t="shared" si="7"/>
        <v>791.9</v>
      </c>
      <c r="X9" s="1">
        <f t="shared" si="8"/>
        <v>224147</v>
      </c>
      <c r="Y9" s="33">
        <f t="shared" si="9"/>
        <v>2.8304962747821696</v>
      </c>
    </row>
    <row r="10" spans="1:76" x14ac:dyDescent="0.25">
      <c r="A10" s="18" t="s">
        <v>9</v>
      </c>
      <c r="B10" s="32">
        <v>840.43</v>
      </c>
      <c r="C10" s="1">
        <v>1264422</v>
      </c>
      <c r="D10" s="33">
        <f>(C10/84043)</f>
        <v>15.044941280059017</v>
      </c>
      <c r="E10" s="40">
        <v>203.25</v>
      </c>
      <c r="F10" s="10">
        <v>133882</v>
      </c>
      <c r="G10" s="2">
        <f>(F10/20325)</f>
        <v>6.5870602706027057</v>
      </c>
      <c r="H10" s="9">
        <v>1807.33</v>
      </c>
      <c r="I10" s="10">
        <v>670074</v>
      </c>
      <c r="J10" s="2">
        <f>(I10/180733)</f>
        <v>3.7075354251852182</v>
      </c>
      <c r="K10" s="149">
        <f t="shared" si="6"/>
        <v>2010.58</v>
      </c>
      <c r="L10" s="159">
        <f t="shared" si="3"/>
        <v>803956</v>
      </c>
      <c r="M10" s="159">
        <f t="shared" si="4"/>
        <v>3.998627261785157</v>
      </c>
      <c r="N10" s="151">
        <v>0.2</v>
      </c>
      <c r="O10" s="160">
        <v>8</v>
      </c>
      <c r="P10" s="159">
        <f t="shared" si="10"/>
        <v>0.4</v>
      </c>
      <c r="Q10" s="151">
        <v>125.85</v>
      </c>
      <c r="R10" s="10">
        <v>23100</v>
      </c>
      <c r="S10" s="46">
        <f t="shared" si="11"/>
        <v>1.8355184743742552</v>
      </c>
      <c r="T10" s="74">
        <f>(N10+Q10)</f>
        <v>126.05</v>
      </c>
      <c r="U10" s="161">
        <f t="shared" ref="U10:U22" si="12">(O10+R10)</f>
        <v>23108</v>
      </c>
      <c r="V10" s="159">
        <f t="shared" si="5"/>
        <v>1.8332407774692583</v>
      </c>
      <c r="W10" s="200">
        <f t="shared" si="7"/>
        <v>2977.06</v>
      </c>
      <c r="X10" s="1">
        <f t="shared" si="8"/>
        <v>2091486</v>
      </c>
      <c r="Y10" s="33">
        <f t="shared" si="9"/>
        <v>7.0253404365380607</v>
      </c>
    </row>
    <row r="11" spans="1:76" x14ac:dyDescent="0.25">
      <c r="A11" s="80" t="s">
        <v>63</v>
      </c>
      <c r="B11" s="32"/>
      <c r="C11" s="1"/>
      <c r="D11" s="33"/>
      <c r="E11" s="40">
        <v>84</v>
      </c>
      <c r="F11" s="73">
        <v>15939</v>
      </c>
      <c r="G11" s="2">
        <f>(F11/84)</f>
        <v>189.75</v>
      </c>
      <c r="H11" s="72">
        <v>30</v>
      </c>
      <c r="I11" s="73">
        <v>5635</v>
      </c>
      <c r="J11" s="2">
        <f>(I11/3000)</f>
        <v>1.8783333333333334</v>
      </c>
      <c r="K11" s="149">
        <f t="shared" si="6"/>
        <v>114</v>
      </c>
      <c r="L11" s="159">
        <f t="shared" si="3"/>
        <v>21574</v>
      </c>
      <c r="M11" s="159">
        <f t="shared" si="4"/>
        <v>1.8924561403508773</v>
      </c>
      <c r="N11" s="151"/>
      <c r="O11" s="160"/>
      <c r="P11" s="159"/>
      <c r="Q11" s="151"/>
      <c r="R11" s="73"/>
      <c r="S11" s="46"/>
      <c r="T11" s="74"/>
      <c r="U11" s="161"/>
      <c r="V11" s="159"/>
      <c r="W11" s="200">
        <f t="shared" si="7"/>
        <v>114</v>
      </c>
      <c r="X11" s="1">
        <f t="shared" si="8"/>
        <v>21574</v>
      </c>
      <c r="Y11" s="33">
        <f t="shared" si="9"/>
        <v>1.8924561403508773</v>
      </c>
    </row>
    <row r="12" spans="1:76" x14ac:dyDescent="0.25">
      <c r="A12" s="18" t="s">
        <v>10</v>
      </c>
      <c r="B12" s="32"/>
      <c r="C12" s="1"/>
      <c r="D12" s="33"/>
      <c r="E12" s="40">
        <v>179.33</v>
      </c>
      <c r="F12" s="10">
        <v>25922</v>
      </c>
      <c r="G12" s="2">
        <f>(F12/17333)</f>
        <v>1.4955287601684648</v>
      </c>
      <c r="H12" s="9">
        <v>831.66</v>
      </c>
      <c r="I12" s="10">
        <v>175362</v>
      </c>
      <c r="J12" s="2">
        <f>(I12/83166)</f>
        <v>2.1085780246735446</v>
      </c>
      <c r="K12" s="149">
        <f t="shared" si="6"/>
        <v>1010.99</v>
      </c>
      <c r="L12" s="159">
        <f t="shared" si="3"/>
        <v>201284</v>
      </c>
      <c r="M12" s="159">
        <f t="shared" si="4"/>
        <v>1.9909593566701946</v>
      </c>
      <c r="N12" s="151"/>
      <c r="O12" s="161"/>
      <c r="P12" s="159"/>
      <c r="Q12" s="151"/>
      <c r="R12" s="10"/>
      <c r="S12" s="46"/>
      <c r="T12" s="74"/>
      <c r="U12" s="161"/>
      <c r="V12" s="159"/>
      <c r="W12" s="200">
        <f t="shared" si="7"/>
        <v>1010.99</v>
      </c>
      <c r="X12" s="1">
        <f t="shared" si="8"/>
        <v>201284</v>
      </c>
      <c r="Y12" s="33">
        <f t="shared" si="9"/>
        <v>1.9909593566701946</v>
      </c>
    </row>
    <row r="13" spans="1:76" x14ac:dyDescent="0.25">
      <c r="A13" s="80" t="s">
        <v>64</v>
      </c>
      <c r="B13" s="32"/>
      <c r="C13" s="1"/>
      <c r="D13" s="33"/>
      <c r="E13" s="40">
        <v>10.4</v>
      </c>
      <c r="F13" s="73">
        <v>7064</v>
      </c>
      <c r="G13" s="2">
        <f>(F13/1040)</f>
        <v>6.7923076923076922</v>
      </c>
      <c r="H13" s="72">
        <v>15.89</v>
      </c>
      <c r="I13" s="73">
        <v>8600</v>
      </c>
      <c r="J13" s="2">
        <f>(I13/1589)</f>
        <v>5.4122089364380113</v>
      </c>
      <c r="K13" s="149">
        <f t="shared" si="6"/>
        <v>26.29</v>
      </c>
      <c r="L13" s="159">
        <f t="shared" si="3"/>
        <v>15664</v>
      </c>
      <c r="M13" s="159">
        <f t="shared" si="4"/>
        <v>5.9581589958159</v>
      </c>
      <c r="N13" s="151"/>
      <c r="O13" s="161"/>
      <c r="P13" s="159"/>
      <c r="Q13" s="151"/>
      <c r="R13" s="73"/>
      <c r="S13" s="46"/>
      <c r="T13" s="74"/>
      <c r="U13" s="161"/>
      <c r="V13" s="159"/>
      <c r="W13" s="200">
        <f t="shared" si="7"/>
        <v>26.29</v>
      </c>
      <c r="X13" s="1">
        <f t="shared" si="8"/>
        <v>15664</v>
      </c>
      <c r="Y13" s="33">
        <f t="shared" si="9"/>
        <v>5.9581589958159</v>
      </c>
    </row>
    <row r="14" spans="1:76" x14ac:dyDescent="0.25">
      <c r="A14" s="18" t="s">
        <v>11</v>
      </c>
      <c r="B14" s="32">
        <v>21.6</v>
      </c>
      <c r="C14" s="1">
        <v>46095</v>
      </c>
      <c r="D14" s="33">
        <f>C14/B14/100</f>
        <v>21.340277777777779</v>
      </c>
      <c r="E14" s="40">
        <v>25.71</v>
      </c>
      <c r="F14" s="10">
        <v>16180</v>
      </c>
      <c r="G14" s="2">
        <f>(F14/2571)</f>
        <v>6.2932711007390116</v>
      </c>
      <c r="H14" s="9">
        <v>41.12</v>
      </c>
      <c r="I14" s="10">
        <v>19040</v>
      </c>
      <c r="J14" s="2">
        <f>(I14/4112)</f>
        <v>4.6303501945525296</v>
      </c>
      <c r="K14" s="149">
        <f t="shared" si="6"/>
        <v>66.83</v>
      </c>
      <c r="L14" s="159">
        <f t="shared" si="3"/>
        <v>35220</v>
      </c>
      <c r="M14" s="159">
        <f t="shared" si="4"/>
        <v>5.270088283704923</v>
      </c>
      <c r="N14" s="151"/>
      <c r="O14" s="161"/>
      <c r="P14" s="159"/>
      <c r="Q14" s="151">
        <v>27.66</v>
      </c>
      <c r="R14" s="10">
        <v>12087</v>
      </c>
      <c r="S14" s="46">
        <f t="shared" si="11"/>
        <v>4.3698481561822122</v>
      </c>
      <c r="T14" s="74">
        <f t="shared" ref="T14:T22" si="13">(N14+Q14)</f>
        <v>27.66</v>
      </c>
      <c r="U14" s="161">
        <f t="shared" si="12"/>
        <v>12087</v>
      </c>
      <c r="V14" s="159">
        <f t="shared" si="5"/>
        <v>4.3698481561822122</v>
      </c>
      <c r="W14" s="200">
        <f t="shared" si="7"/>
        <v>116.09</v>
      </c>
      <c r="X14" s="1">
        <f t="shared" si="8"/>
        <v>93402</v>
      </c>
      <c r="Y14" s="33">
        <f t="shared" si="9"/>
        <v>8.0456542337841324</v>
      </c>
    </row>
    <row r="15" spans="1:76" x14ac:dyDescent="0.25">
      <c r="A15" s="18" t="s">
        <v>12</v>
      </c>
      <c r="B15" s="32">
        <v>82.95</v>
      </c>
      <c r="C15" s="1">
        <v>19496</v>
      </c>
      <c r="D15" s="33">
        <f>(C15/8295)</f>
        <v>2.3503315250150694</v>
      </c>
      <c r="E15" s="40">
        <v>463.29</v>
      </c>
      <c r="F15" s="10">
        <v>125215</v>
      </c>
      <c r="G15" s="2">
        <f>(F15/46329)</f>
        <v>2.702734788145654</v>
      </c>
      <c r="H15" s="9">
        <v>673.1</v>
      </c>
      <c r="I15" s="10">
        <v>204536</v>
      </c>
      <c r="J15" s="2">
        <f>(I15/67310)</f>
        <v>3.038716386866736</v>
      </c>
      <c r="K15" s="149">
        <f t="shared" si="6"/>
        <v>1136.3900000000001</v>
      </c>
      <c r="L15" s="159">
        <f t="shared" si="3"/>
        <v>329751</v>
      </c>
      <c r="M15" s="159">
        <f t="shared" si="4"/>
        <v>2.901741479597673</v>
      </c>
      <c r="N15" s="151">
        <v>38.97</v>
      </c>
      <c r="O15" s="161">
        <v>6782</v>
      </c>
      <c r="P15" s="159">
        <f t="shared" si="10"/>
        <v>1.7403130613292277</v>
      </c>
      <c r="Q15" s="151">
        <v>65.25</v>
      </c>
      <c r="R15" s="10">
        <v>12130</v>
      </c>
      <c r="S15" s="46">
        <f t="shared" si="11"/>
        <v>1.8590038314176247</v>
      </c>
      <c r="T15" s="74">
        <f t="shared" si="13"/>
        <v>104.22</v>
      </c>
      <c r="U15" s="161">
        <f t="shared" si="12"/>
        <v>18912</v>
      </c>
      <c r="V15" s="159">
        <f t="shared" si="5"/>
        <v>1.8146229130685088</v>
      </c>
      <c r="W15" s="200">
        <f t="shared" si="7"/>
        <v>1323.5600000000002</v>
      </c>
      <c r="X15" s="1">
        <f t="shared" si="8"/>
        <v>368159</v>
      </c>
      <c r="Y15" s="33">
        <f t="shared" si="9"/>
        <v>2.7815814923388431</v>
      </c>
    </row>
    <row r="16" spans="1:76" x14ac:dyDescent="0.25">
      <c r="A16" s="18" t="s">
        <v>13</v>
      </c>
      <c r="B16" s="32">
        <v>3879.62</v>
      </c>
      <c r="C16" s="1">
        <v>619088</v>
      </c>
      <c r="D16" s="33">
        <f>(C16/387962)</f>
        <v>1.5957439130636506</v>
      </c>
      <c r="E16" s="40">
        <v>2627</v>
      </c>
      <c r="F16" s="10">
        <v>586365</v>
      </c>
      <c r="G16" s="2">
        <f>(F16/262700)</f>
        <v>2.2320708031975638</v>
      </c>
      <c r="H16" s="9">
        <v>14808.64</v>
      </c>
      <c r="I16" s="10">
        <v>2596373</v>
      </c>
      <c r="J16" s="2">
        <f>(I16/1480864)</f>
        <v>1.7532825431639907</v>
      </c>
      <c r="K16" s="149">
        <f t="shared" si="6"/>
        <v>17435.64</v>
      </c>
      <c r="L16" s="159">
        <f t="shared" si="3"/>
        <v>3182738</v>
      </c>
      <c r="M16" s="159">
        <f t="shared" si="4"/>
        <v>1.82542080474247</v>
      </c>
      <c r="N16" s="151"/>
      <c r="O16" s="160"/>
      <c r="P16" s="159"/>
      <c r="Q16" s="151"/>
      <c r="R16" s="10"/>
      <c r="S16" s="46"/>
      <c r="T16" s="74"/>
      <c r="U16" s="161"/>
      <c r="V16" s="159"/>
      <c r="W16" s="200">
        <f t="shared" si="7"/>
        <v>21315.26</v>
      </c>
      <c r="X16" s="1">
        <f t="shared" si="8"/>
        <v>3801826</v>
      </c>
      <c r="Y16" s="33">
        <f t="shared" si="9"/>
        <v>1.7836169955233949</v>
      </c>
    </row>
    <row r="17" spans="1:25" x14ac:dyDescent="0.25">
      <c r="A17" s="19" t="s">
        <v>14</v>
      </c>
      <c r="B17" s="32">
        <v>15242.72</v>
      </c>
      <c r="C17" s="1">
        <v>2807588</v>
      </c>
      <c r="D17" s="33">
        <f>(C17/1524272)</f>
        <v>1.8419206020972634</v>
      </c>
      <c r="E17" s="40">
        <v>2144.15</v>
      </c>
      <c r="F17" s="10">
        <v>376518</v>
      </c>
      <c r="G17" s="2">
        <f>(F17/214415)</f>
        <v>1.7560245318657743</v>
      </c>
      <c r="H17" s="9">
        <v>6913.69</v>
      </c>
      <c r="I17" s="10">
        <v>1454516</v>
      </c>
      <c r="J17" s="2">
        <f>(I17/691369)</f>
        <v>2.1038201018558831</v>
      </c>
      <c r="K17" s="149">
        <f t="shared" si="6"/>
        <v>9057.84</v>
      </c>
      <c r="L17" s="159">
        <f t="shared" si="3"/>
        <v>1831034</v>
      </c>
      <c r="M17" s="159">
        <f t="shared" si="4"/>
        <v>2.0214907748425675</v>
      </c>
      <c r="N17" s="151">
        <v>23500.05</v>
      </c>
      <c r="O17" s="161">
        <v>865220</v>
      </c>
      <c r="P17" s="159">
        <f t="shared" si="10"/>
        <v>0.3681779400469361</v>
      </c>
      <c r="Q17" s="151">
        <v>96735.26</v>
      </c>
      <c r="R17" s="10">
        <v>3664351</v>
      </c>
      <c r="S17" s="46">
        <f t="shared" si="11"/>
        <v>0.37880200042879919</v>
      </c>
      <c r="T17" s="74">
        <f t="shared" si="13"/>
        <v>120235.31</v>
      </c>
      <c r="U17" s="161">
        <f t="shared" si="12"/>
        <v>4529571</v>
      </c>
      <c r="V17" s="159">
        <f t="shared" si="5"/>
        <v>0.37672552264388892</v>
      </c>
      <c r="W17" s="200">
        <f t="shared" si="7"/>
        <v>144535.87</v>
      </c>
      <c r="X17" s="1">
        <f t="shared" si="8"/>
        <v>9168193</v>
      </c>
      <c r="Y17" s="33">
        <f t="shared" si="9"/>
        <v>0.63431956371798914</v>
      </c>
    </row>
    <row r="18" spans="1:25" x14ac:dyDescent="0.25">
      <c r="A18" s="18" t="s">
        <v>15</v>
      </c>
      <c r="B18" s="32">
        <v>1.35</v>
      </c>
      <c r="C18" s="3">
        <v>452</v>
      </c>
      <c r="D18" s="33">
        <f>(C18/135)</f>
        <v>3.3481481481481481</v>
      </c>
      <c r="E18" s="40">
        <v>118.49</v>
      </c>
      <c r="F18" s="10">
        <v>16868</v>
      </c>
      <c r="G18" s="2">
        <f>(F18/11849)</f>
        <v>1.4235800489492785</v>
      </c>
      <c r="H18" s="9">
        <v>582.82000000000005</v>
      </c>
      <c r="I18" s="10">
        <v>155829</v>
      </c>
      <c r="J18" s="2">
        <f>(I18/58282)</f>
        <v>2.6737071480045298</v>
      </c>
      <c r="K18" s="149">
        <f t="shared" si="6"/>
        <v>701.31000000000006</v>
      </c>
      <c r="L18" s="159">
        <f t="shared" si="3"/>
        <v>172697</v>
      </c>
      <c r="M18" s="159">
        <f t="shared" si="4"/>
        <v>2.462491622820151</v>
      </c>
      <c r="N18" s="151"/>
      <c r="O18" s="161"/>
      <c r="P18" s="159"/>
      <c r="Q18" s="151"/>
      <c r="R18" s="10"/>
      <c r="S18" s="46"/>
      <c r="T18" s="74"/>
      <c r="U18" s="161"/>
      <c r="V18" s="159"/>
      <c r="W18" s="200">
        <f t="shared" si="7"/>
        <v>702.66000000000008</v>
      </c>
      <c r="X18" s="1">
        <f t="shared" si="8"/>
        <v>173149</v>
      </c>
      <c r="Y18" s="33">
        <f t="shared" si="9"/>
        <v>2.4641932086642186</v>
      </c>
    </row>
    <row r="19" spans="1:25" x14ac:dyDescent="0.25">
      <c r="A19" s="18" t="s">
        <v>16</v>
      </c>
      <c r="B19" s="32"/>
      <c r="C19" s="1"/>
      <c r="D19" s="33"/>
      <c r="E19" s="40">
        <v>38.909999999999997</v>
      </c>
      <c r="F19" s="10">
        <v>11430</v>
      </c>
      <c r="G19" s="2">
        <f>(F19/3867)</f>
        <v>2.9557796741660201</v>
      </c>
      <c r="H19" s="9">
        <v>150.97</v>
      </c>
      <c r="I19" s="10">
        <v>54955</v>
      </c>
      <c r="J19" s="2">
        <f>(I19/15097)</f>
        <v>3.6401271775849509</v>
      </c>
      <c r="K19" s="149">
        <f t="shared" si="6"/>
        <v>189.88</v>
      </c>
      <c r="L19" s="159">
        <f t="shared" si="3"/>
        <v>66385</v>
      </c>
      <c r="M19" s="159">
        <f t="shared" si="4"/>
        <v>3.496155466610491</v>
      </c>
      <c r="N19" s="151"/>
      <c r="O19" s="161"/>
      <c r="P19" s="159"/>
      <c r="Q19" s="151"/>
      <c r="R19" s="10"/>
      <c r="S19" s="46"/>
      <c r="T19" s="74"/>
      <c r="U19" s="161"/>
      <c r="V19" s="159"/>
      <c r="W19" s="200">
        <f t="shared" si="7"/>
        <v>189.88</v>
      </c>
      <c r="X19" s="1">
        <f t="shared" si="8"/>
        <v>66385</v>
      </c>
      <c r="Y19" s="33">
        <f t="shared" si="9"/>
        <v>3.496155466610491</v>
      </c>
    </row>
    <row r="20" spans="1:25" x14ac:dyDescent="0.25">
      <c r="A20" s="18" t="s">
        <v>17</v>
      </c>
      <c r="B20" s="32">
        <v>137.37</v>
      </c>
      <c r="C20" s="1">
        <v>39053</v>
      </c>
      <c r="D20" s="33">
        <f>(C20/13737)</f>
        <v>2.8429060202373151</v>
      </c>
      <c r="E20" s="40">
        <v>423.67</v>
      </c>
      <c r="F20" s="10">
        <v>40026</v>
      </c>
      <c r="G20" s="2">
        <f>(F20/42367)</f>
        <v>0.94474473056860298</v>
      </c>
      <c r="H20" s="9">
        <v>4100.83</v>
      </c>
      <c r="I20" s="10">
        <v>609753</v>
      </c>
      <c r="J20" s="2">
        <f>(I20/410083)</f>
        <v>1.4869014321491014</v>
      </c>
      <c r="K20" s="149">
        <f t="shared" si="6"/>
        <v>4524.5</v>
      </c>
      <c r="L20" s="159">
        <f t="shared" si="3"/>
        <v>649779</v>
      </c>
      <c r="M20" s="159">
        <f t="shared" si="4"/>
        <v>1.4361343794894463</v>
      </c>
      <c r="N20" s="151">
        <v>763.61</v>
      </c>
      <c r="O20" s="163">
        <v>24471</v>
      </c>
      <c r="P20" s="159">
        <f t="shared" si="10"/>
        <v>0.32046463508859235</v>
      </c>
      <c r="Q20" s="151">
        <v>13432.25</v>
      </c>
      <c r="R20" s="10">
        <v>494633</v>
      </c>
      <c r="S20" s="46">
        <f t="shared" si="11"/>
        <v>0.36824284836866494</v>
      </c>
      <c r="T20" s="74">
        <f t="shared" si="13"/>
        <v>14195.86</v>
      </c>
      <c r="U20" s="161">
        <f t="shared" si="12"/>
        <v>519104</v>
      </c>
      <c r="V20" s="159">
        <f t="shared" si="5"/>
        <v>0.3656728088329978</v>
      </c>
      <c r="W20" s="200">
        <f t="shared" si="7"/>
        <v>18857.73</v>
      </c>
      <c r="X20" s="1">
        <f t="shared" si="8"/>
        <v>1207936</v>
      </c>
      <c r="Y20" s="33">
        <f t="shared" si="9"/>
        <v>0.64055217674661802</v>
      </c>
    </row>
    <row r="21" spans="1:25" x14ac:dyDescent="0.25">
      <c r="A21" s="18" t="s">
        <v>18</v>
      </c>
      <c r="B21" s="32"/>
      <c r="C21" s="1"/>
      <c r="D21" s="33"/>
      <c r="E21" s="40"/>
      <c r="F21" s="10"/>
      <c r="G21" s="2"/>
      <c r="H21" s="9"/>
      <c r="I21" s="10"/>
      <c r="J21" s="2"/>
      <c r="K21" s="149">
        <f t="shared" si="6"/>
        <v>0</v>
      </c>
      <c r="L21" s="159">
        <f t="shared" si="3"/>
        <v>0</v>
      </c>
      <c r="M21" s="159"/>
      <c r="N21" s="152"/>
      <c r="O21" s="161"/>
      <c r="P21" s="159"/>
      <c r="Q21" s="151"/>
      <c r="R21" s="10"/>
      <c r="S21" s="46"/>
      <c r="T21" s="74"/>
      <c r="U21" s="161"/>
      <c r="V21" s="159"/>
      <c r="W21" s="200"/>
      <c r="X21" s="1"/>
      <c r="Y21" s="33"/>
    </row>
    <row r="22" spans="1:25" x14ac:dyDescent="0.25">
      <c r="A22" s="18" t="s">
        <v>19</v>
      </c>
      <c r="B22" s="32">
        <v>6.53</v>
      </c>
      <c r="C22" s="1">
        <v>4909</v>
      </c>
      <c r="D22" s="33">
        <f>(4909/653)</f>
        <v>7.5176110260336904</v>
      </c>
      <c r="E22" s="40">
        <v>301.31</v>
      </c>
      <c r="F22" s="10">
        <v>50106</v>
      </c>
      <c r="G22" s="2"/>
      <c r="H22" s="9">
        <v>109.98</v>
      </c>
      <c r="I22" s="10">
        <v>27635</v>
      </c>
      <c r="J22" s="2">
        <f>(I22/10998)</f>
        <v>2.5127295871976725</v>
      </c>
      <c r="K22" s="149">
        <f t="shared" si="6"/>
        <v>411.29</v>
      </c>
      <c r="L22" s="159">
        <f t="shared" si="3"/>
        <v>77741</v>
      </c>
      <c r="M22" s="159">
        <f t="shared" si="4"/>
        <v>1.8901748158233849</v>
      </c>
      <c r="N22" s="151">
        <v>63.61</v>
      </c>
      <c r="O22" s="161">
        <v>3221</v>
      </c>
      <c r="P22" s="159">
        <f t="shared" si="10"/>
        <v>0.50636692343971079</v>
      </c>
      <c r="Q22" s="151">
        <v>0.75</v>
      </c>
      <c r="R22" s="10">
        <v>42</v>
      </c>
      <c r="S22" s="46">
        <f t="shared" si="11"/>
        <v>0.56000000000000005</v>
      </c>
      <c r="T22" s="74">
        <f t="shared" si="13"/>
        <v>64.36</v>
      </c>
      <c r="U22" s="161">
        <f t="shared" si="12"/>
        <v>3263</v>
      </c>
      <c r="V22" s="159">
        <f t="shared" si="5"/>
        <v>0.50699192044748298</v>
      </c>
      <c r="W22" s="200">
        <f t="shared" si="7"/>
        <v>482.18</v>
      </c>
      <c r="X22" s="1">
        <f t="shared" si="8"/>
        <v>85913</v>
      </c>
      <c r="Y22" s="33">
        <f t="shared" si="9"/>
        <v>1.7817619975942594</v>
      </c>
    </row>
    <row r="23" spans="1:25" ht="15.75" thickBot="1" x14ac:dyDescent="0.3">
      <c r="A23" s="20" t="s">
        <v>20</v>
      </c>
      <c r="B23" s="34">
        <v>0.03</v>
      </c>
      <c r="C23" s="4">
        <v>53</v>
      </c>
      <c r="D23" s="11">
        <f>C23/B23/100</f>
        <v>17.666666666666668</v>
      </c>
      <c r="E23" s="42"/>
      <c r="F23" s="44"/>
      <c r="G23" s="16"/>
      <c r="H23" s="17"/>
      <c r="I23" s="44"/>
      <c r="J23" s="16"/>
      <c r="K23" s="177"/>
      <c r="L23" s="178"/>
      <c r="M23" s="178"/>
      <c r="N23" s="153"/>
      <c r="O23" s="164"/>
      <c r="P23" s="180"/>
      <c r="Q23" s="154"/>
      <c r="R23" s="7"/>
      <c r="S23" s="16"/>
      <c r="T23" s="6"/>
      <c r="U23" s="45"/>
      <c r="V23" s="178"/>
      <c r="W23" s="201">
        <f t="shared" si="7"/>
        <v>0.03</v>
      </c>
      <c r="X23" s="15">
        <f t="shared" si="8"/>
        <v>53</v>
      </c>
      <c r="Y23" s="38">
        <f>X23/W23/100</f>
        <v>17.666666666666668</v>
      </c>
    </row>
    <row r="24" spans="1:25" ht="15.75" thickTop="1" x14ac:dyDescent="0.25">
      <c r="A24" s="21" t="s">
        <v>21</v>
      </c>
      <c r="B24" s="54">
        <f>(B29+B26)</f>
        <v>16.07</v>
      </c>
      <c r="C24" s="65">
        <f>(C29+C26)</f>
        <v>10010</v>
      </c>
      <c r="D24" s="66">
        <f>(D29+D26)</f>
        <v>40.714285714285708</v>
      </c>
      <c r="E24" s="57"/>
      <c r="F24" s="58"/>
      <c r="G24" s="67"/>
      <c r="H24" s="62"/>
      <c r="I24" s="58"/>
      <c r="J24" s="67"/>
      <c r="K24" s="171"/>
      <c r="L24" s="172"/>
      <c r="M24" s="172"/>
      <c r="N24" s="150"/>
      <c r="O24" s="165"/>
      <c r="P24" s="61"/>
      <c r="Q24" s="155"/>
      <c r="R24" s="58"/>
      <c r="S24" s="79"/>
      <c r="T24" s="62"/>
      <c r="U24" s="165"/>
      <c r="V24" s="61"/>
      <c r="W24" s="199">
        <f t="shared" si="7"/>
        <v>16.07</v>
      </c>
      <c r="X24" s="8">
        <f t="shared" si="8"/>
        <v>10010</v>
      </c>
      <c r="Y24" s="31">
        <f t="shared" si="9"/>
        <v>6.2289981331673925</v>
      </c>
    </row>
    <row r="25" spans="1:25" x14ac:dyDescent="0.25">
      <c r="A25" s="22" t="s">
        <v>22</v>
      </c>
      <c r="B25" s="32"/>
      <c r="C25" s="1"/>
      <c r="D25" s="33"/>
      <c r="E25" s="40"/>
      <c r="F25" s="10"/>
      <c r="G25" s="2"/>
      <c r="H25" s="9"/>
      <c r="I25" s="10"/>
      <c r="J25" s="2"/>
      <c r="K25" s="149"/>
      <c r="L25" s="159"/>
      <c r="M25" s="159"/>
      <c r="N25" s="151"/>
      <c r="O25" s="161"/>
      <c r="P25" s="158"/>
      <c r="Q25" s="151"/>
      <c r="R25" s="10"/>
      <c r="S25" s="46"/>
      <c r="T25" s="9"/>
      <c r="U25" s="46"/>
      <c r="V25" s="158"/>
      <c r="W25" s="200"/>
      <c r="X25" s="1"/>
      <c r="Y25" s="33"/>
    </row>
    <row r="26" spans="1:25" x14ac:dyDescent="0.25">
      <c r="A26" s="27" t="s">
        <v>61</v>
      </c>
      <c r="B26" s="32">
        <v>7.0000000000000007E-2</v>
      </c>
      <c r="C26" s="1">
        <v>243</v>
      </c>
      <c r="D26" s="33">
        <f>C26/B26/100</f>
        <v>34.714285714285708</v>
      </c>
      <c r="E26" s="40"/>
      <c r="F26" s="73"/>
      <c r="G26" s="2"/>
      <c r="H26" s="72"/>
      <c r="I26" s="73"/>
      <c r="J26" s="2"/>
      <c r="K26" s="149"/>
      <c r="L26" s="159"/>
      <c r="M26" s="159"/>
      <c r="N26" s="151"/>
      <c r="O26" s="161"/>
      <c r="P26" s="158"/>
      <c r="Q26" s="151"/>
      <c r="R26" s="73"/>
      <c r="S26" s="46"/>
      <c r="T26" s="72"/>
      <c r="U26" s="46"/>
      <c r="V26" s="159"/>
      <c r="W26" s="200">
        <f t="shared" si="7"/>
        <v>7.0000000000000007E-2</v>
      </c>
      <c r="X26" s="202">
        <f t="shared" si="8"/>
        <v>243</v>
      </c>
      <c r="Y26" s="203">
        <f t="shared" si="9"/>
        <v>34.714285714285708</v>
      </c>
    </row>
    <row r="27" spans="1:25" x14ac:dyDescent="0.25">
      <c r="A27" s="23" t="s">
        <v>23</v>
      </c>
      <c r="B27" s="32"/>
      <c r="C27" s="1"/>
      <c r="D27" s="33"/>
      <c r="E27" s="40"/>
      <c r="F27" s="10"/>
      <c r="G27" s="2"/>
      <c r="H27" s="9"/>
      <c r="I27" s="10"/>
      <c r="J27" s="2"/>
      <c r="K27" s="149"/>
      <c r="L27" s="159"/>
      <c r="M27" s="159"/>
      <c r="N27" s="151"/>
      <c r="O27" s="161"/>
      <c r="P27" s="158"/>
      <c r="Q27" s="151"/>
      <c r="R27" s="10"/>
      <c r="S27" s="46"/>
      <c r="T27" s="9"/>
      <c r="U27" s="46"/>
      <c r="V27" s="159"/>
      <c r="W27" s="200"/>
      <c r="X27" s="202"/>
      <c r="Y27" s="203"/>
    </row>
    <row r="28" spans="1:25" x14ac:dyDescent="0.25">
      <c r="A28" s="27" t="s">
        <v>65</v>
      </c>
      <c r="B28" s="34"/>
      <c r="C28" s="4"/>
      <c r="D28" s="11"/>
      <c r="E28" s="29">
        <v>38.67</v>
      </c>
      <c r="F28" s="71">
        <v>17186</v>
      </c>
      <c r="G28" s="5">
        <f>(F28/3867)</f>
        <v>4.4442720455133182</v>
      </c>
      <c r="H28" s="6">
        <v>38.17</v>
      </c>
      <c r="I28" s="71">
        <v>21607</v>
      </c>
      <c r="J28" s="5">
        <f>(I28/3817)</f>
        <v>5.6607283206706835</v>
      </c>
      <c r="K28" s="149">
        <f t="shared" si="6"/>
        <v>76.84</v>
      </c>
      <c r="L28" s="159">
        <f t="shared" si="3"/>
        <v>38793</v>
      </c>
      <c r="M28" s="159">
        <f t="shared" si="4"/>
        <v>5.0485424258198854</v>
      </c>
      <c r="N28" s="153">
        <v>0.02</v>
      </c>
      <c r="O28" s="164">
        <v>8</v>
      </c>
      <c r="P28" s="158">
        <f t="shared" si="10"/>
        <v>4</v>
      </c>
      <c r="Q28" s="153"/>
      <c r="R28" s="71"/>
      <c r="S28" s="46"/>
      <c r="T28" s="6"/>
      <c r="U28" s="45"/>
      <c r="V28" s="159"/>
      <c r="W28" s="200">
        <f t="shared" si="7"/>
        <v>76.84</v>
      </c>
      <c r="X28" s="202">
        <f t="shared" si="8"/>
        <v>38793</v>
      </c>
      <c r="Y28" s="203">
        <f t="shared" si="9"/>
        <v>5.0485424258198854</v>
      </c>
    </row>
    <row r="29" spans="1:25" ht="16.5" customHeight="1" thickBot="1" x14ac:dyDescent="0.3">
      <c r="A29" s="24" t="s">
        <v>46</v>
      </c>
      <c r="B29" s="37">
        <v>16</v>
      </c>
      <c r="C29" s="15">
        <v>9767</v>
      </c>
      <c r="D29" s="38">
        <v>6</v>
      </c>
      <c r="E29" s="42"/>
      <c r="F29" s="44"/>
      <c r="G29" s="16"/>
      <c r="H29" s="17"/>
      <c r="I29" s="44"/>
      <c r="J29" s="16"/>
      <c r="K29" s="177"/>
      <c r="L29" s="178"/>
      <c r="M29" s="178"/>
      <c r="N29" s="154"/>
      <c r="O29" s="166"/>
      <c r="P29" s="180"/>
      <c r="Q29" s="154"/>
      <c r="R29" s="94"/>
      <c r="S29" s="47"/>
      <c r="T29" s="92">
        <v>0.02</v>
      </c>
      <c r="U29" s="47">
        <v>8</v>
      </c>
      <c r="V29" s="178">
        <f t="shared" si="5"/>
        <v>4</v>
      </c>
      <c r="W29" s="201">
        <f t="shared" si="7"/>
        <v>16.02</v>
      </c>
      <c r="X29" s="204">
        <f t="shared" si="8"/>
        <v>9775</v>
      </c>
      <c r="Y29" s="205">
        <f t="shared" si="9"/>
        <v>6.1017478152309614</v>
      </c>
    </row>
    <row r="30" spans="1:25" ht="15.75" thickTop="1" x14ac:dyDescent="0.25">
      <c r="A30" s="25" t="s">
        <v>24</v>
      </c>
      <c r="B30" s="53"/>
      <c r="C30" s="55"/>
      <c r="D30" s="56"/>
      <c r="E30" s="57"/>
      <c r="F30" s="58"/>
      <c r="G30" s="59"/>
      <c r="H30" s="62"/>
      <c r="I30" s="58"/>
      <c r="J30" s="67"/>
      <c r="K30" s="171"/>
      <c r="L30" s="172"/>
      <c r="M30" s="172"/>
      <c r="N30" s="155"/>
      <c r="O30" s="167"/>
      <c r="P30" s="61"/>
      <c r="Q30" s="155"/>
      <c r="R30" s="61"/>
      <c r="S30" s="79"/>
      <c r="T30" s="60"/>
      <c r="U30" s="167"/>
      <c r="V30" s="172"/>
      <c r="W30" s="199"/>
      <c r="X30" s="206"/>
      <c r="Y30" s="207"/>
    </row>
    <row r="31" spans="1:25" x14ac:dyDescent="0.25">
      <c r="A31" s="26" t="s">
        <v>47</v>
      </c>
      <c r="B31" s="30"/>
      <c r="C31" s="8"/>
      <c r="D31" s="31"/>
      <c r="E31" s="40"/>
      <c r="F31" s="10"/>
      <c r="G31" s="2"/>
      <c r="H31" s="9"/>
      <c r="I31" s="10"/>
      <c r="J31" s="2"/>
      <c r="K31" s="149"/>
      <c r="L31" s="159"/>
      <c r="M31" s="159"/>
      <c r="N31" s="151"/>
      <c r="O31" s="161"/>
      <c r="P31" s="158"/>
      <c r="Q31" s="151"/>
      <c r="R31" s="10"/>
      <c r="S31" s="46"/>
      <c r="T31" s="9"/>
      <c r="U31" s="46"/>
      <c r="V31" s="159"/>
      <c r="W31" s="200"/>
      <c r="X31" s="202"/>
      <c r="Y31" s="203"/>
    </row>
    <row r="32" spans="1:25" x14ac:dyDescent="0.25">
      <c r="A32" s="22" t="s">
        <v>25</v>
      </c>
      <c r="B32" s="32"/>
      <c r="C32" s="1"/>
      <c r="D32" s="33"/>
      <c r="E32" s="40"/>
      <c r="F32" s="10"/>
      <c r="G32" s="2"/>
      <c r="H32" s="9"/>
      <c r="I32" s="10"/>
      <c r="J32" s="2"/>
      <c r="K32" s="149"/>
      <c r="L32" s="159"/>
      <c r="M32" s="159"/>
      <c r="N32" s="151"/>
      <c r="O32" s="161"/>
      <c r="P32" s="158"/>
      <c r="Q32" s="151"/>
      <c r="R32" s="10"/>
      <c r="S32" s="46"/>
      <c r="T32" s="9"/>
      <c r="U32" s="46"/>
      <c r="V32" s="159"/>
      <c r="W32" s="200"/>
      <c r="X32" s="202"/>
      <c r="Y32" s="203"/>
    </row>
    <row r="33" spans="1:25" x14ac:dyDescent="0.25">
      <c r="A33" s="22" t="s">
        <v>26</v>
      </c>
      <c r="B33" s="32"/>
      <c r="C33" s="1"/>
      <c r="D33" s="33"/>
      <c r="E33" s="40">
        <v>2.2599999999999998</v>
      </c>
      <c r="F33" s="10">
        <v>750</v>
      </c>
      <c r="G33" s="2">
        <f>(F33/226)</f>
        <v>3.3185840707964602</v>
      </c>
      <c r="H33" s="48">
        <v>9.44</v>
      </c>
      <c r="I33" s="50">
        <v>5415</v>
      </c>
      <c r="J33" s="46">
        <f>(I33/944)</f>
        <v>5.7362288135593218</v>
      </c>
      <c r="K33" s="149">
        <f t="shared" si="6"/>
        <v>11.7</v>
      </c>
      <c r="L33" s="159">
        <f t="shared" si="3"/>
        <v>6165</v>
      </c>
      <c r="M33" s="159">
        <f t="shared" si="4"/>
        <v>5.2692307692307692</v>
      </c>
      <c r="N33" s="151"/>
      <c r="O33" s="161"/>
      <c r="P33" s="158"/>
      <c r="Q33" s="151"/>
      <c r="R33" s="10"/>
      <c r="S33" s="46"/>
      <c r="T33" s="9"/>
      <c r="U33" s="46"/>
      <c r="V33" s="159"/>
      <c r="W33" s="200">
        <f t="shared" si="7"/>
        <v>11.7</v>
      </c>
      <c r="X33" s="202">
        <f t="shared" si="8"/>
        <v>6165</v>
      </c>
      <c r="Y33" s="203">
        <f t="shared" si="9"/>
        <v>5.2692307692307692</v>
      </c>
    </row>
    <row r="34" spans="1:25" x14ac:dyDescent="0.25">
      <c r="A34" s="22" t="s">
        <v>27</v>
      </c>
      <c r="B34" s="32"/>
      <c r="C34" s="1"/>
      <c r="D34" s="33"/>
      <c r="E34" s="40">
        <v>0.02</v>
      </c>
      <c r="F34" s="10">
        <v>1196</v>
      </c>
      <c r="G34" s="2">
        <f>(F34/226)</f>
        <v>5.2920353982300883</v>
      </c>
      <c r="H34" s="9">
        <v>0.01</v>
      </c>
      <c r="I34" s="10">
        <v>33</v>
      </c>
      <c r="J34" s="46">
        <f>(33/1)</f>
        <v>33</v>
      </c>
      <c r="K34" s="149">
        <f t="shared" si="6"/>
        <v>0.03</v>
      </c>
      <c r="L34" s="159">
        <f t="shared" si="3"/>
        <v>1229</v>
      </c>
      <c r="M34" s="159">
        <f t="shared" si="4"/>
        <v>409.66666666666674</v>
      </c>
      <c r="N34" s="151"/>
      <c r="O34" s="160"/>
      <c r="P34" s="158"/>
      <c r="Q34" s="151"/>
      <c r="R34" s="10"/>
      <c r="S34" s="46"/>
      <c r="T34" s="9"/>
      <c r="U34" s="161"/>
      <c r="V34" s="159"/>
      <c r="W34" s="200">
        <f t="shared" si="7"/>
        <v>0.03</v>
      </c>
      <c r="X34" s="202">
        <f t="shared" si="8"/>
        <v>1229</v>
      </c>
      <c r="Y34" s="203">
        <f t="shared" si="9"/>
        <v>409.66666666666674</v>
      </c>
    </row>
    <row r="35" spans="1:25" ht="15.75" thickBot="1" x14ac:dyDescent="0.3">
      <c r="A35" s="23" t="s">
        <v>28</v>
      </c>
      <c r="B35" s="34"/>
      <c r="C35" s="4"/>
      <c r="D35" s="11"/>
      <c r="E35" s="42"/>
      <c r="F35" s="44"/>
      <c r="G35" s="5"/>
      <c r="H35" s="49">
        <v>0.03</v>
      </c>
      <c r="I35" s="51">
        <v>9</v>
      </c>
      <c r="J35" s="47">
        <f>(9/3)</f>
        <v>3</v>
      </c>
      <c r="K35" s="177">
        <f t="shared" si="6"/>
        <v>0.03</v>
      </c>
      <c r="L35" s="178">
        <f t="shared" si="3"/>
        <v>9</v>
      </c>
      <c r="M35" s="178">
        <f t="shared" si="4"/>
        <v>3</v>
      </c>
      <c r="N35" s="154"/>
      <c r="O35" s="166"/>
      <c r="P35" s="180"/>
      <c r="Q35" s="154"/>
      <c r="R35" s="94"/>
      <c r="S35" s="47"/>
      <c r="T35" s="92"/>
      <c r="U35" s="47"/>
      <c r="V35" s="178"/>
      <c r="W35" s="201">
        <f t="shared" si="7"/>
        <v>0.03</v>
      </c>
      <c r="X35" s="204">
        <f t="shared" si="8"/>
        <v>9</v>
      </c>
      <c r="Y35" s="205">
        <f t="shared" si="9"/>
        <v>3</v>
      </c>
    </row>
    <row r="36" spans="1:25" ht="15.75" thickTop="1" x14ac:dyDescent="0.25">
      <c r="A36" s="21" t="s">
        <v>29</v>
      </c>
      <c r="B36" s="35"/>
      <c r="C36" s="12"/>
      <c r="D36" s="36"/>
      <c r="E36" s="41"/>
      <c r="F36" s="43"/>
      <c r="G36" s="13"/>
      <c r="H36" s="14"/>
      <c r="I36" s="43"/>
      <c r="J36" s="13"/>
      <c r="K36" s="171"/>
      <c r="L36" s="172">
        <f t="shared" si="3"/>
        <v>0</v>
      </c>
      <c r="M36" s="172"/>
      <c r="N36" s="152"/>
      <c r="O36" s="168"/>
      <c r="P36" s="61"/>
      <c r="Q36" s="156"/>
      <c r="R36" s="76"/>
      <c r="S36" s="79"/>
      <c r="T36" s="78"/>
      <c r="U36" s="168"/>
      <c r="V36" s="172"/>
      <c r="W36" s="199"/>
      <c r="X36" s="206"/>
      <c r="Y36" s="207"/>
    </row>
    <row r="37" spans="1:25" x14ac:dyDescent="0.25">
      <c r="A37" s="26" t="s">
        <v>62</v>
      </c>
      <c r="B37" s="30"/>
      <c r="C37" s="8"/>
      <c r="D37" s="31"/>
      <c r="E37" s="39">
        <v>0.27</v>
      </c>
      <c r="F37" s="76">
        <v>36</v>
      </c>
      <c r="G37" s="77">
        <f>(36/27)</f>
        <v>1.3333333333333333</v>
      </c>
      <c r="H37" s="78">
        <v>0.63</v>
      </c>
      <c r="I37" s="76">
        <v>84</v>
      </c>
      <c r="J37" s="77">
        <f>(I37/63)</f>
        <v>1.3333333333333333</v>
      </c>
      <c r="K37" s="149">
        <f t="shared" si="6"/>
        <v>0.9</v>
      </c>
      <c r="L37" s="159">
        <f t="shared" si="3"/>
        <v>120</v>
      </c>
      <c r="M37" s="159">
        <f t="shared" si="4"/>
        <v>1.3333333333333335</v>
      </c>
      <c r="N37" s="152"/>
      <c r="O37" s="168"/>
      <c r="P37" s="158"/>
      <c r="Q37" s="152"/>
      <c r="R37" s="76"/>
      <c r="S37" s="46"/>
      <c r="T37" s="78"/>
      <c r="U37" s="161"/>
      <c r="V37" s="159"/>
      <c r="W37" s="200">
        <f t="shared" si="7"/>
        <v>0.9</v>
      </c>
      <c r="X37" s="202">
        <f t="shared" si="8"/>
        <v>120</v>
      </c>
      <c r="Y37" s="203">
        <f t="shared" si="9"/>
        <v>1.3333333333333335</v>
      </c>
    </row>
    <row r="38" spans="1:25" x14ac:dyDescent="0.25">
      <c r="A38" s="22" t="s">
        <v>30</v>
      </c>
      <c r="B38" s="32"/>
      <c r="C38" s="1"/>
      <c r="D38" s="33"/>
      <c r="E38" s="40">
        <v>13.23</v>
      </c>
      <c r="F38" s="10">
        <v>6235</v>
      </c>
      <c r="G38" s="2">
        <f>(F38/1323)</f>
        <v>4.7127739984882844</v>
      </c>
      <c r="H38" s="9">
        <v>49.49</v>
      </c>
      <c r="I38" s="10">
        <v>22569</v>
      </c>
      <c r="J38" s="2">
        <f>(I38/4949)</f>
        <v>4.5603152151949891</v>
      </c>
      <c r="K38" s="149">
        <f t="shared" si="6"/>
        <v>62.72</v>
      </c>
      <c r="L38" s="159">
        <f t="shared" si="3"/>
        <v>28804</v>
      </c>
      <c r="M38" s="159">
        <f t="shared" si="4"/>
        <v>4.5924744897959187</v>
      </c>
      <c r="N38" s="151"/>
      <c r="O38" s="160"/>
      <c r="P38" s="158"/>
      <c r="Q38" s="151">
        <v>7.0000000000000007E-2</v>
      </c>
      <c r="R38" s="10">
        <v>222</v>
      </c>
      <c r="S38" s="46">
        <f t="shared" si="11"/>
        <v>31.714285714285712</v>
      </c>
      <c r="T38" s="9">
        <v>7.0000000000000007E-2</v>
      </c>
      <c r="U38" s="161">
        <v>222</v>
      </c>
      <c r="V38" s="159">
        <f t="shared" si="5"/>
        <v>31.714285714285712</v>
      </c>
      <c r="W38" s="200">
        <f t="shared" si="7"/>
        <v>62.79</v>
      </c>
      <c r="X38" s="202">
        <f t="shared" si="8"/>
        <v>29026</v>
      </c>
      <c r="Y38" s="203">
        <f t="shared" si="9"/>
        <v>4.6227106227106232</v>
      </c>
    </row>
    <row r="39" spans="1:25" x14ac:dyDescent="0.25">
      <c r="A39" s="27" t="s">
        <v>67</v>
      </c>
      <c r="B39" s="34"/>
      <c r="C39" s="4"/>
      <c r="D39" s="11"/>
      <c r="E39" s="40"/>
      <c r="F39" s="75"/>
      <c r="G39" s="2"/>
      <c r="H39" s="74"/>
      <c r="I39" s="75"/>
      <c r="J39" s="2"/>
      <c r="K39" s="149"/>
      <c r="L39" s="159"/>
      <c r="M39" s="159"/>
      <c r="N39" s="151">
        <v>0.05</v>
      </c>
      <c r="O39" s="160">
        <v>173</v>
      </c>
      <c r="P39" s="158">
        <f>O39/N39/100</f>
        <v>34.6</v>
      </c>
      <c r="Q39" s="151"/>
      <c r="R39" s="75"/>
      <c r="S39" s="46"/>
      <c r="T39" s="74"/>
      <c r="U39" s="161"/>
      <c r="V39" s="159"/>
      <c r="W39" s="200">
        <f t="shared" si="7"/>
        <v>0</v>
      </c>
      <c r="X39" s="202">
        <f t="shared" si="8"/>
        <v>0</v>
      </c>
      <c r="Y39" s="203"/>
    </row>
    <row r="40" spans="1:25" x14ac:dyDescent="0.25">
      <c r="A40" s="27" t="s">
        <v>48</v>
      </c>
      <c r="B40" s="34"/>
      <c r="C40" s="4"/>
      <c r="D40" s="11"/>
      <c r="E40" s="40"/>
      <c r="F40" s="10"/>
      <c r="G40" s="2"/>
      <c r="H40" s="9"/>
      <c r="I40" s="10"/>
      <c r="J40" s="2"/>
      <c r="K40" s="149"/>
      <c r="L40" s="159"/>
      <c r="M40" s="159"/>
      <c r="N40" s="151"/>
      <c r="O40" s="161"/>
      <c r="P40" s="158"/>
      <c r="Q40" s="151"/>
      <c r="R40" s="10"/>
      <c r="S40" s="46"/>
      <c r="T40" s="9"/>
      <c r="U40" s="46"/>
      <c r="V40" s="159"/>
      <c r="W40" s="200">
        <f t="shared" si="7"/>
        <v>0</v>
      </c>
      <c r="X40" s="202">
        <f t="shared" si="8"/>
        <v>0</v>
      </c>
      <c r="Y40" s="203"/>
    </row>
    <row r="41" spans="1:25" x14ac:dyDescent="0.25">
      <c r="A41" s="81" t="s">
        <v>49</v>
      </c>
      <c r="B41" s="32"/>
      <c r="C41" s="1"/>
      <c r="D41" s="33"/>
      <c r="E41" s="40"/>
      <c r="F41" s="93"/>
      <c r="G41" s="2"/>
      <c r="H41" s="91">
        <v>0.09</v>
      </c>
      <c r="I41" s="93">
        <v>132</v>
      </c>
      <c r="J41" s="2">
        <f>(J38/9)</f>
        <v>0.50670169057722103</v>
      </c>
      <c r="K41" s="149">
        <f t="shared" si="6"/>
        <v>0.09</v>
      </c>
      <c r="L41" s="159">
        <f t="shared" si="3"/>
        <v>132</v>
      </c>
      <c r="M41" s="159">
        <f t="shared" si="4"/>
        <v>14.666666666666668</v>
      </c>
      <c r="N41" s="151"/>
      <c r="O41" s="161"/>
      <c r="P41" s="158"/>
      <c r="Q41" s="151"/>
      <c r="R41" s="93"/>
      <c r="S41" s="46"/>
      <c r="T41" s="91"/>
      <c r="U41" s="93"/>
      <c r="V41" s="159"/>
      <c r="W41" s="200">
        <f t="shared" si="7"/>
        <v>0.09</v>
      </c>
      <c r="X41" s="202">
        <f t="shared" si="8"/>
        <v>132</v>
      </c>
      <c r="Y41" s="203">
        <f t="shared" si="9"/>
        <v>14.666666666666668</v>
      </c>
    </row>
    <row r="42" spans="1:25" ht="15.75" thickBot="1" x14ac:dyDescent="0.3">
      <c r="A42" s="82" t="s">
        <v>68</v>
      </c>
      <c r="B42" s="83"/>
      <c r="C42" s="84"/>
      <c r="D42" s="85"/>
      <c r="E42" s="86"/>
      <c r="F42" s="87"/>
      <c r="G42" s="88"/>
      <c r="H42" s="89"/>
      <c r="I42" s="87"/>
      <c r="J42" s="88"/>
      <c r="K42" s="184"/>
      <c r="L42" s="185"/>
      <c r="M42" s="185"/>
      <c r="N42" s="181">
        <v>0.05</v>
      </c>
      <c r="O42" s="169">
        <v>6</v>
      </c>
      <c r="P42" s="186">
        <f t="shared" si="10"/>
        <v>1.2</v>
      </c>
      <c r="Q42" s="181">
        <v>0.1</v>
      </c>
      <c r="R42" s="96">
        <v>12</v>
      </c>
      <c r="S42" s="183">
        <f t="shared" si="11"/>
        <v>1.2</v>
      </c>
      <c r="T42" s="182">
        <f>(N42+Q42)</f>
        <v>0.15000000000000002</v>
      </c>
      <c r="U42" s="183">
        <v>132</v>
      </c>
      <c r="V42" s="178">
        <f t="shared" si="5"/>
        <v>8.7999999999999989</v>
      </c>
      <c r="W42" s="201">
        <f t="shared" si="7"/>
        <v>0.15000000000000002</v>
      </c>
      <c r="X42" s="204">
        <f t="shared" si="8"/>
        <v>132</v>
      </c>
      <c r="Y42" s="205">
        <f t="shared" si="9"/>
        <v>8.7999999999999989</v>
      </c>
    </row>
    <row r="43" spans="1:25" ht="15.75" thickTop="1" x14ac:dyDescent="0.25">
      <c r="A43" s="21" t="s">
        <v>31</v>
      </c>
      <c r="B43" s="54"/>
      <c r="C43" s="65"/>
      <c r="D43" s="66"/>
      <c r="E43" s="57"/>
      <c r="F43" s="58"/>
      <c r="G43" s="67"/>
      <c r="H43" s="62"/>
      <c r="I43" s="58"/>
      <c r="J43" s="67"/>
      <c r="K43" s="171"/>
      <c r="L43" s="172"/>
      <c r="M43" s="172"/>
      <c r="N43" s="155"/>
      <c r="O43" s="165"/>
      <c r="P43" s="61"/>
      <c r="Q43" s="155"/>
      <c r="R43" s="61"/>
      <c r="S43" s="79"/>
      <c r="T43" s="60"/>
      <c r="U43" s="63"/>
      <c r="V43" s="172"/>
      <c r="W43" s="199"/>
      <c r="X43" s="206"/>
      <c r="Y43" s="207"/>
    </row>
    <row r="44" spans="1:25" ht="15.75" thickBot="1" x14ac:dyDescent="0.3">
      <c r="A44" s="23" t="s">
        <v>32</v>
      </c>
      <c r="B44" s="34"/>
      <c r="C44" s="4"/>
      <c r="D44" s="11"/>
      <c r="E44" s="42">
        <v>0.08</v>
      </c>
      <c r="F44" s="44">
        <v>8</v>
      </c>
      <c r="G44" s="5">
        <f>F44/E44/100</f>
        <v>1</v>
      </c>
      <c r="H44" s="17">
        <v>0.15</v>
      </c>
      <c r="I44" s="44">
        <v>15</v>
      </c>
      <c r="J44" s="16">
        <v>1</v>
      </c>
      <c r="K44" s="177">
        <f t="shared" si="6"/>
        <v>0.22999999999999998</v>
      </c>
      <c r="L44" s="178">
        <f t="shared" si="3"/>
        <v>23</v>
      </c>
      <c r="M44" s="178">
        <f t="shared" si="4"/>
        <v>1.0000000000000002</v>
      </c>
      <c r="N44" s="154"/>
      <c r="O44" s="166"/>
      <c r="P44" s="180"/>
      <c r="Q44" s="154"/>
      <c r="R44" s="94"/>
      <c r="S44" s="47"/>
      <c r="T44" s="92"/>
      <c r="U44" s="47"/>
      <c r="V44" s="178"/>
      <c r="W44" s="201">
        <f t="shared" si="7"/>
        <v>0.22999999999999998</v>
      </c>
      <c r="X44" s="204">
        <f t="shared" si="8"/>
        <v>23</v>
      </c>
      <c r="Y44" s="205">
        <f t="shared" si="9"/>
        <v>1.0000000000000002</v>
      </c>
    </row>
    <row r="45" spans="1:25" ht="15.75" thickTop="1" x14ac:dyDescent="0.25">
      <c r="A45" s="21" t="s">
        <v>33</v>
      </c>
      <c r="B45" s="54">
        <v>0.02</v>
      </c>
      <c r="C45" s="65">
        <v>70</v>
      </c>
      <c r="D45" s="66">
        <v>35</v>
      </c>
      <c r="E45" s="57"/>
      <c r="F45" s="58"/>
      <c r="G45" s="67"/>
      <c r="H45" s="62"/>
      <c r="I45" s="58"/>
      <c r="J45" s="67"/>
      <c r="K45" s="171"/>
      <c r="L45" s="172"/>
      <c r="M45" s="172"/>
      <c r="N45" s="155"/>
      <c r="O45" s="167"/>
      <c r="P45" s="61"/>
      <c r="Q45" s="155"/>
      <c r="R45" s="61"/>
      <c r="S45" s="79"/>
      <c r="T45" s="60"/>
      <c r="U45" s="167"/>
      <c r="V45" s="172"/>
      <c r="W45" s="199">
        <f t="shared" si="7"/>
        <v>0.02</v>
      </c>
      <c r="X45" s="206">
        <f t="shared" si="8"/>
        <v>70</v>
      </c>
      <c r="Y45" s="207">
        <f t="shared" si="9"/>
        <v>35</v>
      </c>
    </row>
    <row r="46" spans="1:25" x14ac:dyDescent="0.25">
      <c r="A46" s="22" t="s">
        <v>34</v>
      </c>
      <c r="B46" s="32">
        <v>0.02</v>
      </c>
      <c r="C46" s="1">
        <v>70</v>
      </c>
      <c r="D46" s="33">
        <f>(C46/2)</f>
        <v>35</v>
      </c>
      <c r="E46" s="40">
        <v>9.15</v>
      </c>
      <c r="F46" s="10">
        <v>10344</v>
      </c>
      <c r="G46" s="2">
        <f>(F46/915)</f>
        <v>11.304918032786885</v>
      </c>
      <c r="H46" s="9">
        <v>58.58</v>
      </c>
      <c r="I46" s="10">
        <v>76791</v>
      </c>
      <c r="J46" s="2">
        <f>I46/H46/100</f>
        <v>13.108740184363263</v>
      </c>
      <c r="K46" s="149">
        <f t="shared" si="6"/>
        <v>67.73</v>
      </c>
      <c r="L46" s="159">
        <f t="shared" si="3"/>
        <v>87135</v>
      </c>
      <c r="M46" s="159">
        <f t="shared" si="4"/>
        <v>12.86505241399675</v>
      </c>
      <c r="N46" s="151"/>
      <c r="O46" s="161"/>
      <c r="P46" s="158"/>
      <c r="Q46" s="151">
        <v>0.2</v>
      </c>
      <c r="R46" s="10">
        <v>15</v>
      </c>
      <c r="S46" s="46">
        <f t="shared" si="11"/>
        <v>0.75</v>
      </c>
      <c r="T46" s="9">
        <v>0.2</v>
      </c>
      <c r="U46" s="161">
        <v>15</v>
      </c>
      <c r="V46" s="159">
        <f t="shared" si="5"/>
        <v>0.75</v>
      </c>
      <c r="W46" s="200">
        <f t="shared" si="7"/>
        <v>67.95</v>
      </c>
      <c r="X46" s="202">
        <f t="shared" si="8"/>
        <v>87220</v>
      </c>
      <c r="Y46" s="203">
        <f t="shared" si="9"/>
        <v>12.835908756438558</v>
      </c>
    </row>
    <row r="47" spans="1:25" ht="15.75" thickBot="1" x14ac:dyDescent="0.3">
      <c r="A47" s="28" t="s">
        <v>35</v>
      </c>
      <c r="B47" s="37"/>
      <c r="C47" s="15"/>
      <c r="D47" s="38"/>
      <c r="E47" s="42"/>
      <c r="F47" s="44"/>
      <c r="G47" s="16"/>
      <c r="H47" s="17">
        <v>0.02</v>
      </c>
      <c r="I47" s="44">
        <v>127</v>
      </c>
      <c r="J47" s="16">
        <f>(I47/6)</f>
        <v>21.166666666666668</v>
      </c>
      <c r="K47" s="177">
        <f t="shared" si="6"/>
        <v>0.02</v>
      </c>
      <c r="L47" s="178">
        <f t="shared" si="3"/>
        <v>127</v>
      </c>
      <c r="M47" s="178">
        <f t="shared" si="4"/>
        <v>63.5</v>
      </c>
      <c r="N47" s="154"/>
      <c r="O47" s="166"/>
      <c r="P47" s="180"/>
      <c r="Q47" s="154"/>
      <c r="R47" s="44"/>
      <c r="S47" s="47"/>
      <c r="T47" s="92"/>
      <c r="U47" s="47"/>
      <c r="V47" s="178"/>
      <c r="W47" s="201">
        <f t="shared" si="7"/>
        <v>0.02</v>
      </c>
      <c r="X47" s="204">
        <f t="shared" si="8"/>
        <v>127</v>
      </c>
      <c r="Y47" s="205">
        <f t="shared" si="9"/>
        <v>63.5</v>
      </c>
    </row>
    <row r="48" spans="1:25" ht="15.75" thickTop="1" x14ac:dyDescent="0.25">
      <c r="A48" s="25" t="s">
        <v>36</v>
      </c>
      <c r="B48" s="53"/>
      <c r="C48" s="55"/>
      <c r="D48" s="56"/>
      <c r="E48" s="57"/>
      <c r="F48" s="58"/>
      <c r="G48" s="59"/>
      <c r="H48" s="62"/>
      <c r="I48" s="58"/>
      <c r="J48" s="67"/>
      <c r="K48" s="171"/>
      <c r="L48" s="172"/>
      <c r="M48" s="172"/>
      <c r="N48" s="155"/>
      <c r="O48" s="167"/>
      <c r="P48" s="61"/>
      <c r="Q48" s="150"/>
      <c r="R48" s="58"/>
      <c r="S48" s="79"/>
      <c r="T48" s="60"/>
      <c r="U48" s="63"/>
      <c r="V48" s="172"/>
      <c r="W48" s="199"/>
      <c r="X48" s="206"/>
      <c r="Y48" s="207"/>
    </row>
    <row r="49" spans="1:26" x14ac:dyDescent="0.25">
      <c r="A49" s="22" t="s">
        <v>37</v>
      </c>
      <c r="B49" s="32"/>
      <c r="C49" s="1"/>
      <c r="D49" s="33"/>
      <c r="E49" s="40">
        <v>0.46</v>
      </c>
      <c r="F49" s="10">
        <v>224</v>
      </c>
      <c r="G49" s="2">
        <f>(F49/46)</f>
        <v>4.8695652173913047</v>
      </c>
      <c r="H49" s="9">
        <v>104.51</v>
      </c>
      <c r="I49" s="10">
        <v>49377</v>
      </c>
      <c r="J49" s="2">
        <f>(I49/10451)</f>
        <v>4.7246196536216631</v>
      </c>
      <c r="K49" s="149">
        <f t="shared" si="6"/>
        <v>104.97</v>
      </c>
      <c r="L49" s="159">
        <f t="shared" si="3"/>
        <v>49601</v>
      </c>
      <c r="M49" s="159">
        <f t="shared" si="4"/>
        <v>4.7252548347146801</v>
      </c>
      <c r="N49" s="151"/>
      <c r="O49" s="161"/>
      <c r="P49" s="158"/>
      <c r="Q49" s="151"/>
      <c r="R49" s="10"/>
      <c r="S49" s="46"/>
      <c r="T49" s="9"/>
      <c r="U49" s="46"/>
      <c r="V49" s="159"/>
      <c r="W49" s="200">
        <f t="shared" si="7"/>
        <v>104.97</v>
      </c>
      <c r="X49" s="202">
        <f t="shared" si="8"/>
        <v>49601</v>
      </c>
      <c r="Y49" s="203">
        <f t="shared" si="9"/>
        <v>4.7252548347146801</v>
      </c>
    </row>
    <row r="50" spans="1:26" x14ac:dyDescent="0.25">
      <c r="A50" s="22" t="s">
        <v>38</v>
      </c>
      <c r="B50" s="32"/>
      <c r="C50" s="1"/>
      <c r="D50" s="33"/>
      <c r="E50" s="40">
        <v>0.5</v>
      </c>
      <c r="F50" s="10">
        <v>31</v>
      </c>
      <c r="G50" s="2">
        <f>(F50/50)</f>
        <v>0.62</v>
      </c>
      <c r="H50" s="9">
        <v>0.23</v>
      </c>
      <c r="I50" s="10">
        <v>14</v>
      </c>
      <c r="J50" s="2">
        <f>(I50/23)</f>
        <v>0.60869565217391308</v>
      </c>
      <c r="K50" s="149">
        <f t="shared" si="6"/>
        <v>0.73</v>
      </c>
      <c r="L50" s="159">
        <f t="shared" si="3"/>
        <v>45</v>
      </c>
      <c r="M50" s="159">
        <f t="shared" si="4"/>
        <v>0.61643835616438358</v>
      </c>
      <c r="N50" s="151"/>
      <c r="O50" s="161"/>
      <c r="P50" s="158"/>
      <c r="Q50" s="151"/>
      <c r="R50" s="10"/>
      <c r="S50" s="46"/>
      <c r="T50" s="9"/>
      <c r="U50" s="46"/>
      <c r="V50" s="159"/>
      <c r="W50" s="200">
        <f t="shared" si="7"/>
        <v>0.73</v>
      </c>
      <c r="X50" s="202">
        <f t="shared" si="8"/>
        <v>45</v>
      </c>
      <c r="Y50" s="203">
        <f t="shared" si="9"/>
        <v>0.61643835616438358</v>
      </c>
    </row>
    <row r="51" spans="1:26" x14ac:dyDescent="0.25">
      <c r="A51" s="81" t="s">
        <v>66</v>
      </c>
      <c r="B51" s="32"/>
      <c r="C51" s="1"/>
      <c r="D51" s="33"/>
      <c r="E51" s="40"/>
      <c r="F51" s="73"/>
      <c r="G51" s="2"/>
      <c r="H51" s="72">
        <v>0.02</v>
      </c>
      <c r="I51" s="73">
        <v>112</v>
      </c>
      <c r="J51" s="2">
        <f>I51/H51/100</f>
        <v>56</v>
      </c>
      <c r="K51" s="149">
        <f t="shared" si="6"/>
        <v>0.02</v>
      </c>
      <c r="L51" s="159">
        <f t="shared" si="3"/>
        <v>112</v>
      </c>
      <c r="M51" s="159">
        <f t="shared" si="4"/>
        <v>56</v>
      </c>
      <c r="N51" s="151"/>
      <c r="O51" s="161"/>
      <c r="P51" s="158"/>
      <c r="Q51" s="151"/>
      <c r="R51" s="73"/>
      <c r="S51" s="46"/>
      <c r="T51" s="72"/>
      <c r="U51" s="46"/>
      <c r="V51" s="159"/>
      <c r="W51" s="200">
        <f t="shared" si="7"/>
        <v>0.02</v>
      </c>
      <c r="X51" s="202">
        <f t="shared" si="8"/>
        <v>112</v>
      </c>
      <c r="Y51" s="203">
        <f t="shared" si="9"/>
        <v>56</v>
      </c>
    </row>
    <row r="52" spans="1:26" x14ac:dyDescent="0.25">
      <c r="A52" s="22" t="s">
        <v>39</v>
      </c>
      <c r="B52" s="32"/>
      <c r="C52" s="1"/>
      <c r="D52" s="33"/>
      <c r="E52" s="40">
        <v>98.72</v>
      </c>
      <c r="F52" s="10">
        <v>39107</v>
      </c>
      <c r="G52" s="2">
        <f>(39107/9872)</f>
        <v>3.9614059967585091</v>
      </c>
      <c r="H52" s="9">
        <v>190.27</v>
      </c>
      <c r="I52" s="10">
        <v>93051</v>
      </c>
      <c r="J52" s="2">
        <f>(I52/19027)</f>
        <v>4.8904714353287435</v>
      </c>
      <c r="K52" s="149">
        <f t="shared" si="6"/>
        <v>288.99</v>
      </c>
      <c r="L52" s="159">
        <f t="shared" si="3"/>
        <v>132158</v>
      </c>
      <c r="M52" s="159">
        <f t="shared" si="4"/>
        <v>4.5730994152046778</v>
      </c>
      <c r="N52" s="151"/>
      <c r="O52" s="161"/>
      <c r="P52" s="158"/>
      <c r="Q52" s="151">
        <v>480</v>
      </c>
      <c r="R52" s="10">
        <v>29570</v>
      </c>
      <c r="S52" s="46">
        <f t="shared" si="11"/>
        <v>0.6160416666666666</v>
      </c>
      <c r="T52" s="9">
        <v>480</v>
      </c>
      <c r="U52" s="46">
        <v>29570</v>
      </c>
      <c r="V52" s="159">
        <f t="shared" si="5"/>
        <v>0.6160416666666666</v>
      </c>
      <c r="W52" s="200">
        <f t="shared" si="7"/>
        <v>768.99</v>
      </c>
      <c r="X52" s="202">
        <f t="shared" si="8"/>
        <v>161728</v>
      </c>
      <c r="Y52" s="203">
        <f t="shared" si="9"/>
        <v>2.1031222772727864</v>
      </c>
    </row>
    <row r="53" spans="1:26" x14ac:dyDescent="0.25">
      <c r="A53" s="27" t="s">
        <v>50</v>
      </c>
      <c r="B53" s="34"/>
      <c r="C53" s="4"/>
      <c r="D53" s="11"/>
      <c r="E53" s="40">
        <v>0.18</v>
      </c>
      <c r="F53" s="151">
        <v>4</v>
      </c>
      <c r="G53" s="2">
        <f>(F53/18)</f>
        <v>0.22222222222222221</v>
      </c>
      <c r="H53" s="9"/>
      <c r="I53" s="10"/>
      <c r="J53" s="2"/>
      <c r="K53" s="149">
        <f t="shared" si="6"/>
        <v>0.18</v>
      </c>
      <c r="L53" s="159">
        <f t="shared" si="3"/>
        <v>4</v>
      </c>
      <c r="M53" s="159">
        <f t="shared" si="4"/>
        <v>0.22222222222222221</v>
      </c>
      <c r="N53" s="151"/>
      <c r="O53" s="161"/>
      <c r="P53" s="158"/>
      <c r="Q53" s="151"/>
      <c r="R53" s="10"/>
      <c r="S53" s="46"/>
      <c r="T53" s="9"/>
      <c r="U53" s="46"/>
      <c r="V53" s="159"/>
      <c r="W53" s="200">
        <f t="shared" si="7"/>
        <v>0.18</v>
      </c>
      <c r="X53" s="202">
        <f t="shared" si="8"/>
        <v>4</v>
      </c>
      <c r="Y53" s="203">
        <f t="shared" si="9"/>
        <v>0.22222222222222221</v>
      </c>
    </row>
    <row r="54" spans="1:26" ht="15.75" thickBot="1" x14ac:dyDescent="0.3">
      <c r="A54" s="23" t="s">
        <v>40</v>
      </c>
      <c r="B54" s="34"/>
      <c r="C54" s="4"/>
      <c r="D54" s="11"/>
      <c r="E54" s="29"/>
      <c r="F54" s="95"/>
      <c r="G54" s="190"/>
      <c r="H54" s="6"/>
      <c r="I54" s="95"/>
      <c r="J54" s="5"/>
      <c r="K54" s="194"/>
      <c r="L54" s="187"/>
      <c r="M54" s="193"/>
      <c r="N54" s="153"/>
      <c r="O54" s="164"/>
      <c r="P54" s="179"/>
      <c r="Q54" s="153">
        <v>0.5</v>
      </c>
      <c r="R54" s="95">
        <v>122</v>
      </c>
      <c r="S54" s="45">
        <f t="shared" si="11"/>
        <v>2.44</v>
      </c>
      <c r="T54" s="6">
        <v>0.5</v>
      </c>
      <c r="U54" s="45">
        <v>122</v>
      </c>
      <c r="V54" s="187">
        <f t="shared" si="5"/>
        <v>2.44</v>
      </c>
      <c r="W54" s="208">
        <f t="shared" si="7"/>
        <v>0.5</v>
      </c>
      <c r="X54" s="209">
        <f t="shared" si="8"/>
        <v>122</v>
      </c>
      <c r="Y54" s="210">
        <f t="shared" si="9"/>
        <v>2.44</v>
      </c>
      <c r="Z54" s="52"/>
    </row>
    <row r="55" spans="1:26" s="189" customFormat="1" ht="15.75" thickTop="1" x14ac:dyDescent="0.25">
      <c r="A55" s="195" t="s">
        <v>41</v>
      </c>
      <c r="B55" s="54"/>
      <c r="C55" s="65"/>
      <c r="D55" s="66"/>
      <c r="E55" s="148">
        <f>SUM(E56:E57)</f>
        <v>0.90999999999999992</v>
      </c>
      <c r="F55" s="196">
        <f t="shared" ref="F55:M55" si="14">SUM(F56:F57)</f>
        <v>163</v>
      </c>
      <c r="G55" s="197">
        <f t="shared" si="14"/>
        <v>4.3960784313725494</v>
      </c>
      <c r="H55" s="157">
        <f t="shared" si="14"/>
        <v>0.37</v>
      </c>
      <c r="I55" s="196">
        <f t="shared" si="14"/>
        <v>147</v>
      </c>
      <c r="J55" s="197">
        <f t="shared" si="14"/>
        <v>6.7549019607843128</v>
      </c>
      <c r="K55" s="157">
        <f t="shared" si="14"/>
        <v>1.28</v>
      </c>
      <c r="L55" s="196">
        <f t="shared" si="14"/>
        <v>310</v>
      </c>
      <c r="M55" s="196">
        <f t="shared" si="14"/>
        <v>5.0700280112044815</v>
      </c>
      <c r="N55" s="198"/>
      <c r="O55" s="198"/>
      <c r="P55" s="198"/>
      <c r="Q55" s="198"/>
      <c r="R55" s="198"/>
      <c r="S55" s="198"/>
      <c r="T55" s="198"/>
      <c r="U55" s="198"/>
      <c r="V55" s="211"/>
      <c r="W55" s="211">
        <f t="shared" ref="W55" si="15">SUM(W56:W57)</f>
        <v>1.28</v>
      </c>
      <c r="X55" s="211">
        <f t="shared" ref="X55" si="16">SUM(X56:X57)</f>
        <v>310</v>
      </c>
      <c r="Y55" s="212">
        <f t="shared" ref="Y55" si="17">SUM(Y56:Y57)</f>
        <v>5.0700280112044815</v>
      </c>
      <c r="Z55" s="52"/>
    </row>
    <row r="56" spans="1:26" x14ac:dyDescent="0.25">
      <c r="A56" s="188" t="s">
        <v>42</v>
      </c>
      <c r="B56" s="30"/>
      <c r="C56" s="8"/>
      <c r="D56" s="31"/>
      <c r="E56" s="39">
        <v>0.85</v>
      </c>
      <c r="F56" s="76">
        <v>147</v>
      </c>
      <c r="G56" s="77">
        <f>(F56/85)</f>
        <v>1.7294117647058824</v>
      </c>
      <c r="H56" s="152">
        <v>0.34</v>
      </c>
      <c r="I56" s="152">
        <v>139</v>
      </c>
      <c r="J56" s="77">
        <f>(I56/34)</f>
        <v>4.0882352941176467</v>
      </c>
      <c r="K56" s="192">
        <f t="shared" si="6"/>
        <v>1.19</v>
      </c>
      <c r="L56" s="172">
        <f t="shared" si="3"/>
        <v>286</v>
      </c>
      <c r="M56" s="191">
        <f t="shared" si="4"/>
        <v>2.403361344537815</v>
      </c>
      <c r="N56" s="152"/>
      <c r="O56" s="168"/>
      <c r="P56" s="61"/>
      <c r="Q56" s="152"/>
      <c r="R56" s="76"/>
      <c r="S56" s="79"/>
      <c r="T56" s="78"/>
      <c r="U56" s="79"/>
      <c r="V56" s="172"/>
      <c r="W56" s="199">
        <f t="shared" si="7"/>
        <v>1.19</v>
      </c>
      <c r="X56" s="206">
        <f t="shared" si="8"/>
        <v>286</v>
      </c>
      <c r="Y56" s="207">
        <f t="shared" si="9"/>
        <v>2.403361344537815</v>
      </c>
      <c r="Z56" s="52"/>
    </row>
    <row r="57" spans="1:26" ht="15.75" thickBot="1" x14ac:dyDescent="0.3">
      <c r="A57" s="28" t="s">
        <v>43</v>
      </c>
      <c r="B57" s="37"/>
      <c r="C57" s="15"/>
      <c r="D57" s="38"/>
      <c r="E57" s="42">
        <v>0.06</v>
      </c>
      <c r="F57" s="44">
        <v>16</v>
      </c>
      <c r="G57" s="16">
        <f>(F57/6)</f>
        <v>2.6666666666666665</v>
      </c>
      <c r="H57" s="17">
        <v>0.03</v>
      </c>
      <c r="I57" s="44">
        <v>8</v>
      </c>
      <c r="J57" s="16">
        <f>(8/3)</f>
        <v>2.6666666666666665</v>
      </c>
      <c r="K57" s="177">
        <f t="shared" si="6"/>
        <v>0.09</v>
      </c>
      <c r="L57" s="178">
        <f t="shared" si="3"/>
        <v>24</v>
      </c>
      <c r="M57" s="178">
        <f t="shared" si="4"/>
        <v>2.666666666666667</v>
      </c>
      <c r="N57" s="154"/>
      <c r="O57" s="166"/>
      <c r="P57" s="180"/>
      <c r="Q57" s="154"/>
      <c r="R57" s="44"/>
      <c r="S57" s="47"/>
      <c r="T57" s="17"/>
      <c r="U57" s="47"/>
      <c r="V57" s="178"/>
      <c r="W57" s="201">
        <f t="shared" si="7"/>
        <v>0.09</v>
      </c>
      <c r="X57" s="204">
        <f t="shared" si="8"/>
        <v>24</v>
      </c>
      <c r="Y57" s="205">
        <f t="shared" si="9"/>
        <v>2.666666666666667</v>
      </c>
    </row>
    <row r="58" spans="1:26" ht="15.75" thickTop="1" x14ac:dyDescent="0.25">
      <c r="A58" s="70" t="s">
        <v>56</v>
      </c>
      <c r="K58" s="90"/>
      <c r="W58" s="52"/>
    </row>
  </sheetData>
  <mergeCells count="36">
    <mergeCell ref="W3:W4"/>
    <mergeCell ref="X3:X4"/>
    <mergeCell ref="Y3:Y4"/>
    <mergeCell ref="U3:U4"/>
    <mergeCell ref="V3:V4"/>
    <mergeCell ref="T3:T4"/>
    <mergeCell ref="H3:H4"/>
    <mergeCell ref="I3:I4"/>
    <mergeCell ref="J3:J4"/>
    <mergeCell ref="M3:M4"/>
    <mergeCell ref="N3:N4"/>
    <mergeCell ref="O3:O4"/>
    <mergeCell ref="P3:P4"/>
    <mergeCell ref="Q3:Q4"/>
    <mergeCell ref="R3:R4"/>
    <mergeCell ref="L3:L4"/>
    <mergeCell ref="K3:K4"/>
    <mergeCell ref="E3:E4"/>
    <mergeCell ref="G3:G4"/>
    <mergeCell ref="S3:S4"/>
    <mergeCell ref="A3:A4"/>
    <mergeCell ref="D3:D4"/>
    <mergeCell ref="C3:C4"/>
    <mergeCell ref="B3:B4"/>
    <mergeCell ref="F3:F4"/>
    <mergeCell ref="W1:Y2"/>
    <mergeCell ref="B1:D1"/>
    <mergeCell ref="B2:D2"/>
    <mergeCell ref="E2:G2"/>
    <mergeCell ref="N2:P2"/>
    <mergeCell ref="H2:J2"/>
    <mergeCell ref="E1:M1"/>
    <mergeCell ref="K2:M2"/>
    <mergeCell ref="N1:V1"/>
    <mergeCell ref="T2:V2"/>
    <mergeCell ref="Q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import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HNT Sajtó</cp:lastModifiedBy>
  <dcterms:created xsi:type="dcterms:W3CDTF">2015-08-24T13:57:54Z</dcterms:created>
  <dcterms:modified xsi:type="dcterms:W3CDTF">2016-05-12T11:29:41Z</dcterms:modified>
</cp:coreProperties>
</file>